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44DFD606-50F8-490B-B636-D796DD585D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shflow - Detail" sheetId="1" r:id="rId1"/>
    <sheet name="Payroll Detail" sheetId="2" r:id="rId2"/>
    <sheet name="Scenarios" sheetId="4" r:id="rId3"/>
  </sheets>
  <definedNames>
    <definedName name="_xlnm.Print_Area" localSheetId="0">'Cashflow - Detail'!$A$3:$B$138</definedName>
    <definedName name="_xlnm.Print_Area" localSheetId="2">Scenarios!$B$2:$L$2</definedName>
    <definedName name="_xlnm.Print_Titles" localSheetId="0">'Cashflow - Detail'!$3:$9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I13" i="2"/>
  <c r="G142" i="1"/>
  <c r="F142" i="1"/>
  <c r="D142" i="1"/>
  <c r="R141" i="1"/>
  <c r="Q141" i="1"/>
  <c r="AJ86" i="1"/>
  <c r="AK86" i="1" s="1"/>
  <c r="AL86" i="1" s="1"/>
  <c r="AM86" i="1" s="1"/>
  <c r="AN86" i="1" s="1"/>
  <c r="AO86" i="1" s="1"/>
  <c r="R76" i="1"/>
  <c r="Q76" i="1"/>
  <c r="D9" i="2"/>
  <c r="D8" i="2"/>
  <c r="D7" i="2"/>
  <c r="F7" i="2" s="1"/>
  <c r="L127" i="1"/>
  <c r="N127" i="1" s="1"/>
  <c r="P127" i="1"/>
  <c r="Q127" i="1"/>
  <c r="S127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AF134" i="1"/>
  <c r="AE134" i="1"/>
  <c r="AC134" i="1"/>
  <c r="AF72" i="1"/>
  <c r="AE72" i="1"/>
  <c r="AD72" i="1"/>
  <c r="AC72" i="1"/>
  <c r="AF71" i="1"/>
  <c r="AE71" i="1"/>
  <c r="AD71" i="1"/>
  <c r="AC71" i="1"/>
  <c r="AG71" i="1"/>
  <c r="AG72" i="1"/>
  <c r="X111" i="1"/>
  <c r="Y119" i="1"/>
  <c r="AG119" i="1" s="1"/>
  <c r="AI155" i="1"/>
  <c r="AG155" i="1"/>
  <c r="AK155" i="1"/>
  <c r="AK153" i="1"/>
  <c r="G22" i="2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H32" i="2"/>
  <c r="I32" i="2" s="1"/>
  <c r="J32" i="2" s="1"/>
  <c r="K32" i="2" s="1"/>
  <c r="L32" i="2" s="1"/>
  <c r="M32" i="2" s="1"/>
  <c r="N32" i="2" s="1"/>
  <c r="O32" i="2" s="1"/>
  <c r="P32" i="2" s="1"/>
  <c r="Q32" i="2" s="1"/>
  <c r="H20" i="2"/>
  <c r="I20" i="2" s="1"/>
  <c r="J20" i="2" s="1"/>
  <c r="K20" i="2" s="1"/>
  <c r="L20" i="2" s="1"/>
  <c r="M20" i="2" s="1"/>
  <c r="N20" i="2" s="1"/>
  <c r="O20" i="2" s="1"/>
  <c r="P20" i="2" s="1"/>
  <c r="Q20" i="2" s="1"/>
  <c r="Y86" i="1"/>
  <c r="J54" i="2"/>
  <c r="Y134" i="1"/>
  <c r="Z134" i="1"/>
  <c r="V71" i="1"/>
  <c r="W71" i="1"/>
  <c r="X71" i="1"/>
  <c r="Y71" i="1"/>
  <c r="Z71" i="1"/>
  <c r="V72" i="1"/>
  <c r="W72" i="1"/>
  <c r="X72" i="1"/>
  <c r="Y72" i="1"/>
  <c r="Z72" i="1"/>
  <c r="N90" i="1"/>
  <c r="V118" i="1"/>
  <c r="AJ153" i="1"/>
  <c r="AL155" i="1"/>
  <c r="N124" i="1"/>
  <c r="N119" i="1"/>
  <c r="N116" i="1"/>
  <c r="N115" i="1"/>
  <c r="N109" i="1"/>
  <c r="N111" i="1"/>
  <c r="N107" i="1"/>
  <c r="N105" i="1"/>
  <c r="N100" i="1"/>
  <c r="N101" i="1"/>
  <c r="N85" i="1"/>
  <c r="N61" i="1"/>
  <c r="N31" i="1"/>
  <c r="N21" i="1"/>
  <c r="M63" i="1"/>
  <c r="N63" i="1" s="1"/>
  <c r="I46" i="2"/>
  <c r="I53" i="2"/>
  <c r="M134" i="1"/>
  <c r="P103" i="1"/>
  <c r="L76" i="1"/>
  <c r="R71" i="1" l="1"/>
  <c r="AI119" i="1"/>
  <c r="AJ119" i="1" s="1"/>
  <c r="AK119" i="1" s="1"/>
  <c r="AL119" i="1" s="1"/>
  <c r="AM119" i="1" s="1"/>
  <c r="AN119" i="1" s="1"/>
  <c r="AO119" i="1" s="1"/>
  <c r="N72" i="1"/>
  <c r="N71" i="1"/>
  <c r="O13" i="2" l="1"/>
  <c r="K13" i="2"/>
  <c r="K76" i="1" l="1"/>
  <c r="W134" i="1"/>
  <c r="K97" i="1"/>
  <c r="N97" i="1" s="1"/>
  <c r="T134" i="1"/>
  <c r="S72" i="1"/>
  <c r="R72" i="1"/>
  <c r="Q72" i="1"/>
  <c r="P72" i="1"/>
  <c r="Q71" i="1"/>
  <c r="P71" i="1"/>
  <c r="H100" i="1"/>
  <c r="H11" i="1"/>
  <c r="H125" i="1"/>
  <c r="H123" i="1"/>
  <c r="H122" i="1"/>
  <c r="H120" i="1"/>
  <c r="H119" i="1"/>
  <c r="H118" i="1"/>
  <c r="H116" i="1"/>
  <c r="H115" i="1"/>
  <c r="H111" i="1"/>
  <c r="H110" i="1"/>
  <c r="H109" i="1"/>
  <c r="H107" i="1"/>
  <c r="H105" i="1"/>
  <c r="H101" i="1"/>
  <c r="H90" i="1"/>
  <c r="H84" i="1"/>
  <c r="H85" i="1"/>
  <c r="H61" i="1"/>
  <c r="H35" i="1"/>
  <c r="H33" i="1"/>
  <c r="H27" i="1"/>
  <c r="J76" i="1"/>
  <c r="D71" i="1"/>
  <c r="AM72" i="1"/>
  <c r="AO72" i="1"/>
  <c r="AN72" i="1"/>
  <c r="AL72" i="1"/>
  <c r="AK72" i="1"/>
  <c r="AI72" i="1"/>
  <c r="AA72" i="1"/>
  <c r="T72" i="1"/>
  <c r="M72" i="1"/>
  <c r="L72" i="1"/>
  <c r="K72" i="1"/>
  <c r="J72" i="1"/>
  <c r="E72" i="1"/>
  <c r="F72" i="1"/>
  <c r="G72" i="1"/>
  <c r="D72" i="1"/>
  <c r="F71" i="1"/>
  <c r="S101" i="1"/>
  <c r="AJ59" i="1"/>
  <c r="AG153" i="1"/>
  <c r="J86" i="1"/>
  <c r="N86" i="1" s="1"/>
  <c r="G63" i="1"/>
  <c r="H63" i="1" s="1"/>
  <c r="G76" i="1"/>
  <c r="F76" i="1"/>
  <c r="K103" i="1"/>
  <c r="N103" i="1" s="1"/>
  <c r="AJ90" i="1"/>
  <c r="AJ128" i="1"/>
  <c r="N76" i="1" l="1"/>
  <c r="Q134" i="1"/>
  <c r="L134" i="1"/>
  <c r="K134" i="1"/>
  <c r="S107" i="1"/>
  <c r="AJ72" i="1"/>
  <c r="J134" i="1"/>
  <c r="H72" i="1"/>
  <c r="E76" i="1"/>
  <c r="H76" i="1" s="1"/>
  <c r="G38" i="2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L71" i="1"/>
  <c r="K71" i="1"/>
  <c r="J71" i="1"/>
  <c r="N134" i="1" l="1"/>
  <c r="V107" i="1"/>
  <c r="AG107" i="1" s="1"/>
  <c r="AI107" i="1" s="1"/>
  <c r="AJ107" i="1" s="1"/>
  <c r="AK107" i="1" s="1"/>
  <c r="AL107" i="1" s="1"/>
  <c r="AM107" i="1" s="1"/>
  <c r="AN107" i="1" s="1"/>
  <c r="AO107" i="1" s="1"/>
  <c r="P134" i="1"/>
  <c r="AG111" i="1"/>
  <c r="E134" i="1"/>
  <c r="G134" i="1"/>
  <c r="D141" i="1"/>
  <c r="E141" i="1" s="1"/>
  <c r="F141" i="1" s="1"/>
  <c r="G141" i="1" s="1"/>
  <c r="H141" i="1" s="1"/>
  <c r="F103" i="1"/>
  <c r="H103" i="1" s="1"/>
  <c r="S105" i="1"/>
  <c r="D86" i="1"/>
  <c r="H86" i="1" s="1"/>
  <c r="E71" i="1"/>
  <c r="G71" i="1"/>
  <c r="N160" i="1"/>
  <c r="N161" i="1"/>
  <c r="S134" i="1" l="1"/>
  <c r="AI111" i="1"/>
  <c r="AJ111" i="1" s="1"/>
  <c r="AK111" i="1" s="1"/>
  <c r="AL111" i="1" s="1"/>
  <c r="AM111" i="1" s="1"/>
  <c r="AN111" i="1" s="1"/>
  <c r="AO111" i="1" s="1"/>
  <c r="J141" i="1"/>
  <c r="K141" i="1" s="1"/>
  <c r="L141" i="1" s="1"/>
  <c r="H134" i="1"/>
  <c r="E142" i="1"/>
  <c r="D134" i="1"/>
  <c r="D137" i="1" s="1"/>
  <c r="Z105" i="1"/>
  <c r="AG105" i="1" s="1"/>
  <c r="AI105" i="1" s="1"/>
  <c r="AJ105" i="1" s="1"/>
  <c r="AK105" i="1" s="1"/>
  <c r="AL105" i="1" s="1"/>
  <c r="AM105" i="1" s="1"/>
  <c r="AN105" i="1" s="1"/>
  <c r="AO105" i="1" s="1"/>
  <c r="Z101" i="1"/>
  <c r="M141" i="1" l="1"/>
  <c r="N141" i="1" s="1"/>
  <c r="P141" i="1" s="1"/>
  <c r="AG101" i="1"/>
  <c r="AI101" i="1" s="1"/>
  <c r="AJ101" i="1" s="1"/>
  <c r="AK101" i="1" s="1"/>
  <c r="AL101" i="1" s="1"/>
  <c r="AM101" i="1" s="1"/>
  <c r="AN101" i="1" s="1"/>
  <c r="AO101" i="1" s="1"/>
  <c r="D144" i="1"/>
  <c r="D164" i="1"/>
  <c r="E11" i="1" s="1"/>
  <c r="E137" i="1" s="1"/>
  <c r="E144" i="1" l="1"/>
  <c r="E164" i="1"/>
  <c r="H71" i="1" l="1"/>
  <c r="H137" i="1" s="1"/>
  <c r="H144" i="1" s="1"/>
  <c r="AN155" i="1" l="1"/>
  <c r="AN153" i="1"/>
  <c r="AN156" i="1" l="1"/>
  <c r="L12" i="2" l="1"/>
  <c r="M12" i="2" s="1"/>
  <c r="N12" i="2" s="1"/>
  <c r="F13" i="2"/>
  <c r="G13" i="2" l="1"/>
  <c r="N56" i="2"/>
  <c r="O56" i="2" s="1"/>
  <c r="P56" i="2" s="1"/>
  <c r="Q56" i="2" s="1"/>
  <c r="F11" i="1" l="1"/>
  <c r="P55" i="2"/>
  <c r="Q55" i="2" s="1"/>
  <c r="J13" i="2" l="1"/>
  <c r="K54" i="2"/>
  <c r="L54" i="2" s="1"/>
  <c r="M54" i="2" s="1"/>
  <c r="N54" i="2" s="1"/>
  <c r="O54" i="2" s="1"/>
  <c r="P54" i="2" s="1"/>
  <c r="Q54" i="2" s="1"/>
  <c r="J53" i="2"/>
  <c r="K53" i="2" s="1"/>
  <c r="L53" i="2" s="1"/>
  <c r="M53" i="2" s="1"/>
  <c r="N53" i="2" s="1"/>
  <c r="O53" i="2" s="1"/>
  <c r="P53" i="2" s="1"/>
  <c r="Q53" i="2" s="1"/>
  <c r="L13" i="2" l="1"/>
  <c r="L15" i="2"/>
  <c r="M15" i="2" s="1"/>
  <c r="N15" i="2" s="1"/>
  <c r="L14" i="2"/>
  <c r="M14" i="2" s="1"/>
  <c r="N14" i="2" s="1"/>
  <c r="O52" i="2"/>
  <c r="P52" i="2" s="1"/>
  <c r="Q52" i="2" s="1"/>
  <c r="K51" i="2"/>
  <c r="L51" i="2" s="1"/>
  <c r="M51" i="2" s="1"/>
  <c r="N51" i="2" s="1"/>
  <c r="O51" i="2" s="1"/>
  <c r="P51" i="2" s="1"/>
  <c r="Q51" i="2" s="1"/>
  <c r="M13" i="2" l="1"/>
  <c r="L49" i="2"/>
  <c r="Q50" i="2"/>
  <c r="M49" i="2"/>
  <c r="N49" i="2" s="1"/>
  <c r="O49" i="2" s="1"/>
  <c r="P49" i="2" s="1"/>
  <c r="Q49" i="2" s="1"/>
  <c r="N13" i="2" l="1"/>
  <c r="P13" i="2" s="1"/>
  <c r="Q13" i="2" s="1"/>
  <c r="M48" i="2"/>
  <c r="N48" i="2" s="1"/>
  <c r="O48" i="2" s="1"/>
  <c r="P48" i="2" s="1"/>
  <c r="Q48" i="2" s="1"/>
  <c r="K47" i="2"/>
  <c r="L47" i="2" s="1"/>
  <c r="M47" i="2" s="1"/>
  <c r="N47" i="2" s="1"/>
  <c r="O47" i="2" s="1"/>
  <c r="P47" i="2" s="1"/>
  <c r="Q47" i="2" s="1"/>
  <c r="J46" i="2" l="1"/>
  <c r="K46" i="2" s="1"/>
  <c r="L46" i="2" s="1"/>
  <c r="M46" i="2" s="1"/>
  <c r="N46" i="2" s="1"/>
  <c r="O46" i="2" s="1"/>
  <c r="P46" i="2" s="1"/>
  <c r="Q46" i="2" s="1"/>
  <c r="AO155" i="1"/>
  <c r="AA153" i="1"/>
  <c r="AI153" i="1"/>
  <c r="AI154" i="1" s="1"/>
  <c r="AJ154" i="1"/>
  <c r="AL153" i="1"/>
  <c r="AM153" i="1"/>
  <c r="AM154" i="1" s="1"/>
  <c r="AO153" i="1"/>
  <c r="AK154" i="1" l="1"/>
  <c r="AL154" i="1"/>
  <c r="AN154" i="1"/>
  <c r="AO154" i="1"/>
  <c r="AG154" i="1"/>
  <c r="F8" i="2" l="1"/>
  <c r="F9" i="2"/>
  <c r="G19" i="2"/>
  <c r="G21" i="2"/>
  <c r="G23" i="2"/>
  <c r="G24" i="2"/>
  <c r="H24" i="2" s="1"/>
  <c r="G25" i="2"/>
  <c r="H25" i="2" s="1"/>
  <c r="G26" i="2"/>
  <c r="H26" i="2" s="1"/>
  <c r="G27" i="2"/>
  <c r="H27" i="2" s="1"/>
  <c r="G28" i="2"/>
  <c r="G29" i="2"/>
  <c r="H29" i="2" s="1"/>
  <c r="G30" i="2"/>
  <c r="H30" i="2" s="1"/>
  <c r="G31" i="2"/>
  <c r="H31" i="2" s="1"/>
  <c r="G33" i="2"/>
  <c r="H33" i="2" s="1"/>
  <c r="G34" i="2"/>
  <c r="H34" i="2" s="1"/>
  <c r="I34" i="2" s="1"/>
  <c r="G35" i="2"/>
  <c r="H35" i="2" s="1"/>
  <c r="G36" i="2"/>
  <c r="H36" i="2" s="1"/>
  <c r="G37" i="2"/>
  <c r="H37" i="2" s="1"/>
  <c r="G39" i="2"/>
  <c r="G40" i="2"/>
  <c r="H40" i="2" s="1"/>
  <c r="G41" i="2"/>
  <c r="H41" i="2" s="1"/>
  <c r="G42" i="2"/>
  <c r="H42" i="2" s="1"/>
  <c r="D19" i="2"/>
  <c r="D23" i="2"/>
  <c r="D24" i="2"/>
  <c r="D27" i="2"/>
  <c r="D31" i="2"/>
  <c r="D35" i="2"/>
  <c r="D36" i="2"/>
  <c r="D39" i="2"/>
  <c r="D41" i="2"/>
  <c r="H19" i="2" l="1"/>
  <c r="I19" i="2" s="1"/>
  <c r="J19" i="2" s="1"/>
  <c r="K19" i="2" s="1"/>
  <c r="L19" i="2" s="1"/>
  <c r="M19" i="2" s="1"/>
  <c r="N19" i="2" s="1"/>
  <c r="O19" i="2" s="1"/>
  <c r="P19" i="2" s="1"/>
  <c r="Q19" i="2" s="1"/>
  <c r="H39" i="2"/>
  <c r="I39" i="2" s="1"/>
  <c r="J39" i="2" s="1"/>
  <c r="K39" i="2" s="1"/>
  <c r="L39" i="2" s="1"/>
  <c r="M39" i="2" s="1"/>
  <c r="N39" i="2" s="1"/>
  <c r="O39" i="2" s="1"/>
  <c r="P39" i="2" s="1"/>
  <c r="Q39" i="2" s="1"/>
  <c r="H21" i="2"/>
  <c r="I21" i="2" s="1"/>
  <c r="J21" i="2" s="1"/>
  <c r="K21" i="2" s="1"/>
  <c r="L21" i="2" s="1"/>
  <c r="M21" i="2" s="1"/>
  <c r="N21" i="2" s="1"/>
  <c r="O21" i="2" s="1"/>
  <c r="P21" i="2" s="1"/>
  <c r="Q21" i="2" s="1"/>
  <c r="H28" i="2"/>
  <c r="I28" i="2" s="1"/>
  <c r="J28" i="2" s="1"/>
  <c r="K28" i="2" s="1"/>
  <c r="L28" i="2" s="1"/>
  <c r="M28" i="2" s="1"/>
  <c r="N28" i="2" s="1"/>
  <c r="O28" i="2" s="1"/>
  <c r="P28" i="2" s="1"/>
  <c r="Q28" i="2" s="1"/>
  <c r="F60" i="2"/>
  <c r="F61" i="2" s="1"/>
  <c r="H23" i="2"/>
  <c r="I23" i="2" s="1"/>
  <c r="J23" i="2" s="1"/>
  <c r="K23" i="2" s="1"/>
  <c r="L23" i="2" s="1"/>
  <c r="M23" i="2" s="1"/>
  <c r="N23" i="2" s="1"/>
  <c r="O23" i="2" s="1"/>
  <c r="P23" i="2" s="1"/>
  <c r="Q23" i="2" s="1"/>
  <c r="I35" i="2"/>
  <c r="J35" i="2" s="1"/>
  <c r="K35" i="2" s="1"/>
  <c r="L35" i="2" s="1"/>
  <c r="M35" i="2" s="1"/>
  <c r="N35" i="2" s="1"/>
  <c r="O35" i="2" s="1"/>
  <c r="P35" i="2" s="1"/>
  <c r="Q35" i="2" s="1"/>
  <c r="I36" i="2"/>
  <c r="J36" i="2" s="1"/>
  <c r="K36" i="2" s="1"/>
  <c r="L36" i="2" s="1"/>
  <c r="M36" i="2" s="1"/>
  <c r="N36" i="2" s="1"/>
  <c r="O36" i="2" s="1"/>
  <c r="P36" i="2" s="1"/>
  <c r="Q36" i="2" s="1"/>
  <c r="I27" i="2"/>
  <c r="J27" i="2" s="1"/>
  <c r="K27" i="2" s="1"/>
  <c r="L27" i="2" s="1"/>
  <c r="M27" i="2" s="1"/>
  <c r="N27" i="2" s="1"/>
  <c r="O27" i="2" s="1"/>
  <c r="P27" i="2" s="1"/>
  <c r="Q27" i="2" s="1"/>
  <c r="I42" i="2"/>
  <c r="J42" i="2" s="1"/>
  <c r="K42" i="2" s="1"/>
  <c r="L42" i="2" s="1"/>
  <c r="M42" i="2" s="1"/>
  <c r="N42" i="2" s="1"/>
  <c r="O42" i="2" s="1"/>
  <c r="P42" i="2" s="1"/>
  <c r="Q42" i="2" s="1"/>
  <c r="I29" i="2"/>
  <c r="J29" i="2" s="1"/>
  <c r="K29" i="2" s="1"/>
  <c r="L29" i="2" s="1"/>
  <c r="M29" i="2" s="1"/>
  <c r="N29" i="2" s="1"/>
  <c r="O29" i="2" s="1"/>
  <c r="P29" i="2" s="1"/>
  <c r="Q29" i="2" s="1"/>
  <c r="I33" i="2"/>
  <c r="J33" i="2" s="1"/>
  <c r="K33" i="2" s="1"/>
  <c r="L33" i="2" s="1"/>
  <c r="M33" i="2" s="1"/>
  <c r="N33" i="2" s="1"/>
  <c r="O33" i="2" s="1"/>
  <c r="P33" i="2" s="1"/>
  <c r="Q33" i="2" s="1"/>
  <c r="I26" i="2"/>
  <c r="J26" i="2" s="1"/>
  <c r="K26" i="2" s="1"/>
  <c r="L26" i="2" s="1"/>
  <c r="M26" i="2" s="1"/>
  <c r="N26" i="2" s="1"/>
  <c r="O26" i="2" s="1"/>
  <c r="P26" i="2" s="1"/>
  <c r="Q26" i="2" s="1"/>
  <c r="I37" i="2"/>
  <c r="J37" i="2" s="1"/>
  <c r="K37" i="2" s="1"/>
  <c r="L37" i="2" s="1"/>
  <c r="M37" i="2" s="1"/>
  <c r="N37" i="2" s="1"/>
  <c r="O37" i="2" s="1"/>
  <c r="P37" i="2" s="1"/>
  <c r="Q37" i="2" s="1"/>
  <c r="I41" i="2"/>
  <c r="J41" i="2" s="1"/>
  <c r="K41" i="2" s="1"/>
  <c r="L41" i="2" s="1"/>
  <c r="M41" i="2" s="1"/>
  <c r="N41" i="2" s="1"/>
  <c r="O41" i="2" s="1"/>
  <c r="P41" i="2" s="1"/>
  <c r="Q41" i="2" s="1"/>
  <c r="I31" i="2"/>
  <c r="J31" i="2" s="1"/>
  <c r="K31" i="2" s="1"/>
  <c r="L31" i="2" s="1"/>
  <c r="M31" i="2" s="1"/>
  <c r="N31" i="2" s="1"/>
  <c r="O31" i="2" s="1"/>
  <c r="P31" i="2" s="1"/>
  <c r="Q31" i="2" s="1"/>
  <c r="I25" i="2"/>
  <c r="J25" i="2" s="1"/>
  <c r="K25" i="2" s="1"/>
  <c r="L25" i="2" s="1"/>
  <c r="M25" i="2" s="1"/>
  <c r="N25" i="2" s="1"/>
  <c r="O25" i="2" s="1"/>
  <c r="P25" i="2" s="1"/>
  <c r="Q25" i="2" s="1"/>
  <c r="I40" i="2"/>
  <c r="J40" i="2" s="1"/>
  <c r="K40" i="2" s="1"/>
  <c r="L40" i="2" s="1"/>
  <c r="M40" i="2" s="1"/>
  <c r="N40" i="2" s="1"/>
  <c r="O40" i="2" s="1"/>
  <c r="P40" i="2" s="1"/>
  <c r="Q40" i="2" s="1"/>
  <c r="I30" i="2"/>
  <c r="J30" i="2" s="1"/>
  <c r="K30" i="2" s="1"/>
  <c r="L30" i="2" s="1"/>
  <c r="M30" i="2" s="1"/>
  <c r="N30" i="2" s="1"/>
  <c r="O30" i="2" s="1"/>
  <c r="P30" i="2" s="1"/>
  <c r="Q30" i="2" s="1"/>
  <c r="I24" i="2"/>
  <c r="J24" i="2" s="1"/>
  <c r="K24" i="2" s="1"/>
  <c r="L24" i="2" s="1"/>
  <c r="M24" i="2" s="1"/>
  <c r="N24" i="2" s="1"/>
  <c r="O24" i="2" s="1"/>
  <c r="P24" i="2" s="1"/>
  <c r="Q24" i="2" s="1"/>
  <c r="J34" i="2"/>
  <c r="K34" i="2" s="1"/>
  <c r="L34" i="2" s="1"/>
  <c r="M34" i="2" s="1"/>
  <c r="N34" i="2" s="1"/>
  <c r="O34" i="2" s="1"/>
  <c r="P34" i="2" s="1"/>
  <c r="Q34" i="2" s="1"/>
  <c r="F134" i="1" l="1"/>
  <c r="F137" i="1" s="1"/>
  <c r="F144" i="1" s="1"/>
  <c r="H161" i="1"/>
  <c r="F164" i="1" l="1"/>
  <c r="G11" i="1" s="1"/>
  <c r="G137" i="1" s="1"/>
  <c r="G164" i="1" s="1"/>
  <c r="H160" i="1"/>
  <c r="G144" i="1" l="1"/>
  <c r="C9" i="4"/>
  <c r="M71" i="1" l="1"/>
  <c r="S71" i="1"/>
  <c r="T161" i="1" l="1"/>
  <c r="AA156" i="1"/>
  <c r="AA161" i="1"/>
  <c r="AA158" i="1" l="1"/>
  <c r="AA160" i="1" s="1"/>
  <c r="F9" i="4" s="1"/>
  <c r="T160" i="1"/>
  <c r="E9" i="4" s="1"/>
  <c r="AG156" i="1" l="1"/>
  <c r="AG161" i="1"/>
  <c r="AG158" i="1" l="1"/>
  <c r="AG160" i="1" s="1"/>
  <c r="G9" i="4" s="1"/>
  <c r="AI156" i="1"/>
  <c r="AI161" i="1"/>
  <c r="AI158" i="1" l="1"/>
  <c r="AI160" i="1" s="1"/>
  <c r="H9" i="4" s="1"/>
  <c r="AJ156" i="1"/>
  <c r="AJ161" i="1"/>
  <c r="AJ158" i="1" l="1"/>
  <c r="AJ160" i="1" s="1"/>
  <c r="I9" i="4" s="1"/>
  <c r="AL156" i="1"/>
  <c r="AK156" i="1"/>
  <c r="AK161" i="1"/>
  <c r="AL158" i="1" l="1"/>
  <c r="AL160" i="1" s="1"/>
  <c r="K9" i="4" s="1"/>
  <c r="AK158" i="1"/>
  <c r="AK160" i="1" s="1"/>
  <c r="J9" i="4" s="1"/>
  <c r="AL161" i="1"/>
  <c r="AM156" i="1" l="1"/>
  <c r="AM161" i="1"/>
  <c r="AM158" i="1" l="1"/>
  <c r="AM160" i="1" s="1"/>
  <c r="L9" i="4" s="1"/>
  <c r="AN161" i="1"/>
  <c r="AO156" i="1"/>
  <c r="AO161" i="1"/>
  <c r="AN158" i="1" l="1"/>
  <c r="AN160" i="1" s="1"/>
  <c r="M9" i="4" s="1"/>
  <c r="AO158" i="1"/>
  <c r="AO160" i="1" s="1"/>
  <c r="N9" i="4" s="1"/>
  <c r="G3" i="2" l="1"/>
  <c r="H3" i="2" l="1"/>
  <c r="I3" i="2" s="1"/>
  <c r="J3" i="2" s="1"/>
  <c r="K3" i="2" s="1"/>
  <c r="L3" i="2" l="1"/>
  <c r="M3" i="2" s="1"/>
  <c r="N3" i="2" s="1"/>
  <c r="O3" i="2" l="1"/>
  <c r="P3" i="2" s="1"/>
  <c r="Q3" i="2" s="1"/>
  <c r="G58" i="2" l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AM71" i="1" l="1"/>
  <c r="T71" i="1"/>
  <c r="AO71" i="1" l="1"/>
  <c r="AN71" i="1"/>
  <c r="AA71" i="1"/>
  <c r="AI71" i="1" l="1"/>
  <c r="AJ71" i="1" l="1"/>
  <c r="AK71" i="1" l="1"/>
  <c r="AL71" i="1"/>
  <c r="D9" i="4" l="1"/>
  <c r="O9" i="4" s="1"/>
  <c r="G8" i="2"/>
  <c r="G7" i="2"/>
  <c r="G9" i="2"/>
  <c r="H9" i="2" l="1"/>
  <c r="I9" i="2" s="1"/>
  <c r="J9" i="2" s="1"/>
  <c r="K9" i="2" s="1"/>
  <c r="L9" i="2" s="1"/>
  <c r="M9" i="2" s="1"/>
  <c r="N9" i="2" s="1"/>
  <c r="O9" i="2" s="1"/>
  <c r="P9" i="2" s="1"/>
  <c r="Q9" i="2" s="1"/>
  <c r="H7" i="2"/>
  <c r="H8" i="2"/>
  <c r="I8" i="2" s="1"/>
  <c r="J8" i="2" s="1"/>
  <c r="K8" i="2" s="1"/>
  <c r="L8" i="2" s="1"/>
  <c r="M8" i="2" s="1"/>
  <c r="N8" i="2" s="1"/>
  <c r="O8" i="2" s="1"/>
  <c r="P8" i="2" s="1"/>
  <c r="Q8" i="2" s="1"/>
  <c r="I7" i="2" l="1"/>
  <c r="G60" i="2"/>
  <c r="G61" i="2" s="1"/>
  <c r="J7" i="2" l="1"/>
  <c r="K7" i="2" s="1"/>
  <c r="L7" i="2" s="1"/>
  <c r="M7" i="2" s="1"/>
  <c r="N7" i="2" s="1"/>
  <c r="O7" i="2" s="1"/>
  <c r="P7" i="2" s="1"/>
  <c r="Q7" i="2" s="1"/>
  <c r="I60" i="2"/>
  <c r="I61" i="2" s="1"/>
  <c r="X76" i="1" s="1"/>
  <c r="X134" i="1" s="1"/>
  <c r="H60" i="2"/>
  <c r="H61" i="2" s="1"/>
  <c r="V134" i="1" s="1"/>
  <c r="R134" i="1" l="1"/>
  <c r="J60" i="2"/>
  <c r="J61" i="2" s="1"/>
  <c r="AD76" i="1" s="1"/>
  <c r="AD134" i="1" s="1"/>
  <c r="K60" i="2" l="1"/>
  <c r="K61" i="2" s="1"/>
  <c r="AI76" i="1" s="1"/>
  <c r="L60" i="2" l="1"/>
  <c r="L61" i="2" s="1"/>
  <c r="AJ76" i="1" s="1"/>
  <c r="M60" i="2" l="1"/>
  <c r="M61" i="2" s="1"/>
  <c r="AK76" i="1" s="1"/>
  <c r="N60" i="2" l="1"/>
  <c r="N61" i="2" s="1"/>
  <c r="AL76" i="1" s="1"/>
  <c r="O60" i="2" l="1"/>
  <c r="O61" i="2" s="1"/>
  <c r="AM76" i="1" s="1"/>
  <c r="Q60" i="2" l="1"/>
  <c r="Q61" i="2" s="1"/>
  <c r="P60" i="2"/>
  <c r="P61" i="2" s="1"/>
  <c r="AN76" i="1" s="1"/>
  <c r="AO76" i="1" l="1"/>
  <c r="AA134" i="1" l="1"/>
  <c r="AL134" i="1" l="1"/>
  <c r="AM134" i="1" l="1"/>
  <c r="AN134" i="1" l="1"/>
  <c r="AO134" i="1" l="1"/>
  <c r="AG134" i="1" l="1"/>
  <c r="AI134" i="1" l="1"/>
  <c r="AJ134" i="1" l="1"/>
  <c r="AK134" i="1" l="1"/>
  <c r="H164" i="1" l="1"/>
  <c r="C6" i="4" s="1"/>
  <c r="N11" i="1" l="1"/>
  <c r="N137" i="1" s="1"/>
  <c r="N144" i="1" s="1"/>
  <c r="J11" i="1"/>
  <c r="J137" i="1" s="1"/>
  <c r="J164" i="1" s="1"/>
  <c r="C11" i="4"/>
  <c r="C14" i="4" l="1"/>
  <c r="K11" i="1" l="1"/>
  <c r="K137" i="1" s="1"/>
  <c r="K164" i="1" l="1"/>
  <c r="L11" i="1" s="1"/>
  <c r="L137" i="1" s="1"/>
  <c r="L164" i="1" l="1"/>
  <c r="M11" i="1" s="1"/>
  <c r="M137" i="1" s="1"/>
  <c r="M164" i="1" s="1"/>
  <c r="N164" i="1" s="1"/>
  <c r="D6" i="4" s="1"/>
  <c r="P11" i="1" l="1"/>
  <c r="P137" i="1" s="1"/>
  <c r="P164" i="1" s="1"/>
  <c r="Q11" i="1" s="1"/>
  <c r="Q137" i="1" s="1"/>
  <c r="T11" i="1"/>
  <c r="P144" i="1" l="1"/>
  <c r="Q164" i="1"/>
  <c r="R11" i="1" s="1"/>
  <c r="R137" i="1" s="1"/>
  <c r="Q144" i="1"/>
  <c r="D11" i="4"/>
  <c r="R164" i="1" l="1"/>
  <c r="S11" i="1" s="1"/>
  <c r="S137" i="1" s="1"/>
  <c r="R144" i="1"/>
  <c r="D14" i="4"/>
  <c r="S164" i="1" l="1"/>
  <c r="T137" i="1" s="1"/>
  <c r="S144" i="1"/>
  <c r="T164" i="1" l="1"/>
  <c r="T144" i="1"/>
  <c r="AA11" i="1" l="1"/>
  <c r="AA137" i="1" s="1"/>
  <c r="V11" i="1"/>
  <c r="V137" i="1" s="1"/>
  <c r="V164" i="1" s="1"/>
  <c r="E11" i="4"/>
  <c r="E6" i="4" s="1"/>
  <c r="V144" i="1" l="1"/>
  <c r="W11" i="1"/>
  <c r="W137" i="1" s="1"/>
  <c r="E14" i="4"/>
  <c r="AA164" i="1"/>
  <c r="AC11" i="1" s="1"/>
  <c r="AC137" i="1" s="1"/>
  <c r="AA144" i="1"/>
  <c r="AC164" i="1" l="1"/>
  <c r="AD11" i="1" s="1"/>
  <c r="AD137" i="1" s="1"/>
  <c r="AC144" i="1"/>
  <c r="W144" i="1"/>
  <c r="W164" i="1"/>
  <c r="X11" i="1" s="1"/>
  <c r="X137" i="1" s="1"/>
  <c r="F11" i="4"/>
  <c r="F6" i="4" l="1"/>
  <c r="F14" i="4"/>
  <c r="AD164" i="1"/>
  <c r="AD144" i="1"/>
  <c r="X144" i="1"/>
  <c r="X164" i="1"/>
  <c r="Y11" i="1" s="1"/>
  <c r="Y137" i="1" s="1"/>
  <c r="AE11" i="1" l="1"/>
  <c r="AE137" i="1" s="1"/>
  <c r="Y164" i="1"/>
  <c r="Z11" i="1" s="1"/>
  <c r="Z137" i="1" s="1"/>
  <c r="Y144" i="1"/>
  <c r="AE164" i="1" l="1"/>
  <c r="AF11" i="1" s="1"/>
  <c r="AF137" i="1" s="1"/>
  <c r="AE144" i="1"/>
  <c r="Z144" i="1"/>
  <c r="Z164" i="1"/>
  <c r="AF164" i="1" l="1"/>
  <c r="AG11" i="1" s="1"/>
  <c r="AG137" i="1" s="1"/>
  <c r="AF144" i="1"/>
  <c r="AG144" i="1" l="1"/>
  <c r="AG164" i="1"/>
  <c r="AI11" i="1" l="1"/>
  <c r="AI137" i="1" s="1"/>
  <c r="G11" i="4"/>
  <c r="G6" i="4" l="1"/>
  <c r="G14" i="4"/>
  <c r="AI144" i="1"/>
  <c r="AI164" i="1"/>
  <c r="AJ11" i="1" l="1"/>
  <c r="AJ137" i="1" s="1"/>
  <c r="H11" i="4"/>
  <c r="H6" i="4" l="1"/>
  <c r="H14" i="4"/>
  <c r="AJ144" i="1"/>
  <c r="AJ164" i="1"/>
  <c r="I11" i="4" l="1"/>
  <c r="AK11" i="1"/>
  <c r="AK137" i="1" s="1"/>
  <c r="AK144" i="1" l="1"/>
  <c r="AK164" i="1"/>
  <c r="I6" i="4"/>
  <c r="I14" i="4"/>
  <c r="J11" i="4" l="1"/>
  <c r="AL11" i="1"/>
  <c r="AL137" i="1" s="1"/>
  <c r="J6" i="4" l="1"/>
  <c r="J14" i="4"/>
  <c r="AL144" i="1"/>
  <c r="AL164" i="1"/>
  <c r="K11" i="4" l="1"/>
  <c r="AM11" i="1"/>
  <c r="AM137" i="1" s="1"/>
  <c r="K6" i="4" l="1"/>
  <c r="K14" i="4"/>
  <c r="AM144" i="1"/>
  <c r="AM164" i="1"/>
  <c r="AN11" i="1" l="1"/>
  <c r="AN137" i="1" s="1"/>
  <c r="L11" i="4"/>
  <c r="L6" i="4" l="1"/>
  <c r="L14" i="4"/>
  <c r="AN144" i="1"/>
  <c r="AN164" i="1"/>
  <c r="M11" i="4" l="1"/>
  <c r="AO11" i="1"/>
  <c r="AO137" i="1" s="1"/>
  <c r="AO144" i="1" l="1"/>
  <c r="AO164" i="1"/>
  <c r="N11" i="4" s="1"/>
  <c r="M6" i="4"/>
  <c r="M14" i="4"/>
  <c r="N6" i="4" l="1"/>
  <c r="N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tc={CDDF988C-BD3B-44FB-8913-8E52C0B3D421}</author>
    <author>tc={8EB52C76-1727-4F8B-946E-6E14ECF9DA31}</author>
    <author>tc={C3E5F57C-7D8E-4D09-8F7C-6ABE7551EB44}</author>
    <author>tc={8DBE63B7-95A7-4302-821F-362B2A0DA4EB}</author>
    <author>tc={40FE2475-01AF-4681-9FC7-409A19E1D215}</author>
    <author>tc={DBAAACE3-67FB-481A-AD90-8306506164AA}</author>
    <author>tc={B117A37B-2D83-48AC-AE58-798DE7492A4C}</author>
    <author>Author</author>
    <author>tc={7398EDB7-6BF3-40C4-A69B-5292E572CD5C}</author>
    <author>tc={2B5D6617-5285-465E-9AB8-4EE261285512}</author>
    <author>tc={736F0BF8-380F-4123-9F32-56D8D913CB90}</author>
  </authors>
  <commentList>
    <comment ref="J21" authorId="0" shapeId="0" xr:uid="{CDDF988C-BD3B-44FB-8913-8E52C0B3D421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2/6/2021; rec'd 2/5/2021</t>
      </text>
    </comment>
    <comment ref="F27" authorId="1" shapeId="0" xr:uid="{8EB52C76-1727-4F8B-946E-6E14ECF9DA31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1/15/2021; rec'd 1/21/2021</t>
      </text>
    </comment>
    <comment ref="M31" authorId="2" shapeId="0" xr:uid="{C3E5F57C-7D8E-4D09-8F7C-6ABE7551EB44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2/5/21; rec'd 2/26/21</t>
      </text>
    </comment>
    <comment ref="Q32" authorId="3" shapeId="0" xr:uid="{8DBE63B7-95A7-4302-821F-362B2A0DA4EB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12/18/2020; rec'd 1/21/2021</t>
      </text>
    </comment>
    <comment ref="D33" authorId="4" shapeId="0" xr:uid="{40FE2475-01AF-4681-9FC7-409A19E1D215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9/19/2020</t>
      </text>
    </comment>
    <comment ref="E35" authorId="5" shapeId="0" xr:uid="{DBAAACE3-67FB-481A-AD90-8306506164AA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12/13/2020; rec'd 1/11/2021</t>
      </text>
    </comment>
    <comment ref="Z40" authorId="6" shapeId="0" xr:uid="{B117A37B-2D83-48AC-AE58-798DE7492A4C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4/8/21</t>
      </text>
    </comment>
    <comment ref="CO40" authorId="7" shapeId="0" xr:uid="{82CD3BDA-8319-44DD-93E8-9702A76B899E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RMU will not be renewing; churn
</t>
        </r>
      </text>
    </comment>
    <comment ref="Y42" authorId="8" shapeId="0" xr:uid="{7398EDB7-6BF3-40C4-A69B-5292E572CD5C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4/8/21</t>
      </text>
    </comment>
    <comment ref="V46" authorId="9" shapeId="0" xr:uid="{2B5D6617-5285-465E-9AB8-4EE261285512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1/14/2021</t>
      </text>
    </comment>
    <comment ref="Y53" authorId="10" shapeId="0" xr:uid="{736F0BF8-380F-4123-9F32-56D8D913CB90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4/12/21</t>
      </text>
    </comment>
    <comment ref="BH65" authorId="7" shapeId="0" xr:uid="{228678B8-3B93-4E0C-814B-39F879459497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Subtracting legal fees Activate paid</t>
        </r>
      </text>
    </comment>
    <comment ref="BK65" authorId="7" shapeId="0" xr:uid="{432B195D-6408-49F6-BF35-3C365E8E7E8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PA Venture Fund - through Activate</t>
        </r>
      </text>
    </comment>
    <comment ref="CK65" authorId="7" shapeId="0" xr:uid="{3A35B7A9-C194-4FEB-92AC-BE5943681144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PA Venture Fund comm
itted to addl </t>
        </r>
      </text>
    </comment>
    <comment ref="Q76" authorId="7" shapeId="0" xr:uid="{95C4B168-DE83-4647-9D61-C3BADE5C161D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charset val="1"/>
          </rPr>
          <t xml:space="preserve">
Includes Commission
</t>
        </r>
      </text>
    </comment>
    <comment ref="R76" authorId="7" shapeId="0" xr:uid="{BE69F84B-99EA-4BA7-819A-3C27C787EF77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charset val="1"/>
          </rPr>
          <t xml:space="preserve">
Taxes</t>
        </r>
      </text>
    </comment>
    <comment ref="AJ107" authorId="7" shapeId="0" xr:uid="{3E233DC4-A13C-4D4E-A16E-318BF910FA49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additional space
</t>
        </r>
      </text>
    </comment>
    <comment ref="BB119" authorId="7" shapeId="0" xr:uid="{AD675137-7AE1-4A1F-B683-D9674C8DC9DE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Coming out of PNC</t>
        </r>
      </text>
    </comment>
    <comment ref="AJ130" authorId="7" shapeId="0" xr:uid="{A3B651F9-6219-464E-8A8C-B91588FA16BC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new furniture
</t>
        </r>
      </text>
    </comment>
    <comment ref="AN130" authorId="7" shapeId="0" xr:uid="{1333AFEE-2FFB-4FD6-8811-A0012EFAA86D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mktg booth
</t>
        </r>
      </text>
    </comment>
  </commentList>
</comments>
</file>

<file path=xl/sharedStrings.xml><?xml version="1.0" encoding="utf-8"?>
<sst xmlns="http://schemas.openxmlformats.org/spreadsheetml/2006/main" count="253" uniqueCount="210">
  <si>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</si>
  <si>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</si>
  <si>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</si>
  <si>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</si>
  <si>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</si>
  <si>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</si>
  <si>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</si>
  <si>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</si>
  <si>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</si>
  <si>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</si>
  <si>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</si>
  <si>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</si>
  <si>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</si>
  <si>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 xml:space="preserve">2.  Everthing signs per current forecast </t>
  </si>
  <si>
    <t>Forecasted Payroll Expenses</t>
  </si>
  <si>
    <t>HOURLY EMPLOYEES:</t>
  </si>
  <si>
    <t>NAME</t>
  </si>
  <si>
    <t>Hourly Rate</t>
  </si>
  <si>
    <t>INTERNS:</t>
  </si>
  <si>
    <t>Hours/month</t>
  </si>
  <si>
    <t># of Interns</t>
  </si>
  <si>
    <t>Sales</t>
  </si>
  <si>
    <t>SALARIED EMPLOYEES:</t>
  </si>
  <si>
    <t>Current Annual Salary</t>
  </si>
  <si>
    <t>New Hires</t>
  </si>
  <si>
    <t>Dept</t>
  </si>
  <si>
    <t>Hire Month</t>
  </si>
  <si>
    <t>Marketing</t>
  </si>
  <si>
    <t>SW Dev</t>
  </si>
  <si>
    <t>Payroll Fee</t>
  </si>
  <si>
    <t>Gross Wages Total</t>
  </si>
  <si>
    <t>with ER Payroll Taxes</t>
  </si>
  <si>
    <t>Forecast</t>
  </si>
  <si>
    <t>Invoiced AR</t>
  </si>
  <si>
    <t>Received AR</t>
  </si>
  <si>
    <t>AP = rec'd invoice, entered in QB, not paid</t>
  </si>
  <si>
    <t>Bold AP = paid</t>
  </si>
  <si>
    <t>Week Ending:</t>
  </si>
  <si>
    <t>Starting Cash Balance</t>
  </si>
  <si>
    <t>Per Active Cashflow</t>
  </si>
  <si>
    <t>Cash - In</t>
  </si>
  <si>
    <t>Verified against contracts</t>
  </si>
  <si>
    <t>Churn</t>
  </si>
  <si>
    <t>Up Sale</t>
  </si>
  <si>
    <t>Cross Sale</t>
  </si>
  <si>
    <r>
      <t>Misc Deposits</t>
    </r>
    <r>
      <rPr>
        <sz val="9.5"/>
        <color rgb="FF000000"/>
        <rFont val="Arial"/>
        <family val="2"/>
      </rPr>
      <t xml:space="preserve"> (refunds, returned deposits)</t>
    </r>
  </si>
  <si>
    <t>Bank Fees - Out</t>
  </si>
  <si>
    <t>Total Cash-In</t>
  </si>
  <si>
    <t xml:space="preserve">Cash from Platform Customers </t>
  </si>
  <si>
    <t>Cash - Out</t>
  </si>
  <si>
    <t>Payroll -  10th of each month</t>
  </si>
  <si>
    <t>Commissions/Bonuses</t>
  </si>
  <si>
    <t xml:space="preserve">Forecasted Bonuses - Annual </t>
  </si>
  <si>
    <t>.</t>
  </si>
  <si>
    <t>AP - Vendors</t>
  </si>
  <si>
    <t>State Sales Tax/Registration</t>
  </si>
  <si>
    <t>Expense Reports - Travel</t>
  </si>
  <si>
    <t>Expense Reports - Conference Travel</t>
  </si>
  <si>
    <t>Credit Card Payments</t>
  </si>
  <si>
    <t>Misc Expenses - forecasted</t>
  </si>
  <si>
    <t>Other Expenses</t>
  </si>
  <si>
    <t>Trade Shows/Conferences</t>
  </si>
  <si>
    <t>Recruiters - 3rd party</t>
  </si>
  <si>
    <t>CapEx Est</t>
  </si>
  <si>
    <t>Estimated Total Cash Out</t>
  </si>
  <si>
    <t>Ending Operating Cash Balance</t>
  </si>
  <si>
    <t>Weekly Bank Reconciliation - SVB</t>
  </si>
  <si>
    <t>Diff</t>
  </si>
  <si>
    <t>Prospects - not signed</t>
  </si>
  <si>
    <t>Assume 60 days to pay</t>
  </si>
  <si>
    <t># of Deals/month - pull down</t>
  </si>
  <si>
    <t>Ave ACV - pull down</t>
  </si>
  <si>
    <t>Total ACV</t>
  </si>
  <si>
    <t>Commission to be paid</t>
  </si>
  <si>
    <t>Total Net New Cash (@100%)</t>
  </si>
  <si>
    <t>Sensitivity - lower Rev</t>
  </si>
  <si>
    <t>Net Cash with Reduction</t>
  </si>
  <si>
    <t>Revenue Avail for Loan</t>
  </si>
  <si>
    <t>New Cash Balance - with new contracts</t>
  </si>
  <si>
    <t>New Equity</t>
  </si>
  <si>
    <t>New Debt</t>
  </si>
  <si>
    <t xml:space="preserve">Tax Payments </t>
  </si>
  <si>
    <t xml:space="preserve">Bank Debt Payments </t>
  </si>
  <si>
    <t>Vendor 1</t>
  </si>
  <si>
    <t>Vendor 2</t>
  </si>
  <si>
    <t>Vendor 3</t>
  </si>
  <si>
    <t>Vendor 4</t>
  </si>
  <si>
    <t>Vendor 5</t>
  </si>
  <si>
    <t>Vendor 6</t>
  </si>
  <si>
    <t>Vendor 7</t>
  </si>
  <si>
    <t>Vendor 8</t>
  </si>
  <si>
    <t>Vendor 9</t>
  </si>
  <si>
    <t>Vendor 10</t>
  </si>
  <si>
    <t>Vendor 11</t>
  </si>
  <si>
    <t>Vendor 12</t>
  </si>
  <si>
    <t>Vendor 13</t>
  </si>
  <si>
    <t>Vendor 14</t>
  </si>
  <si>
    <t>Vendor 15</t>
  </si>
  <si>
    <t>Vendor 16</t>
  </si>
  <si>
    <t>Vendor 17</t>
  </si>
  <si>
    <t>Vendor 18</t>
  </si>
  <si>
    <t>Vendor 19</t>
  </si>
  <si>
    <t>Vendor 20</t>
  </si>
  <si>
    <t>Vendor 21</t>
  </si>
  <si>
    <t>Vendor 22</t>
  </si>
  <si>
    <t>Vendor 23</t>
  </si>
  <si>
    <t>Vendor 24</t>
  </si>
  <si>
    <t>Vendor 25</t>
  </si>
  <si>
    <t>Vendor 26</t>
  </si>
  <si>
    <t>Vendor 36</t>
  </si>
  <si>
    <t>Vendor 37</t>
  </si>
  <si>
    <t>Vendor 38</t>
  </si>
  <si>
    <t>Vendor 39</t>
  </si>
  <si>
    <t>Vendor 48</t>
  </si>
  <si>
    <t>Vendor 49</t>
  </si>
  <si>
    <t>New Hire 1</t>
  </si>
  <si>
    <t>New Hire 2</t>
  </si>
  <si>
    <t>New Hire 3</t>
  </si>
  <si>
    <t>New Hire 4</t>
  </si>
  <si>
    <t>New Hire 5</t>
  </si>
  <si>
    <t>New Hire 6</t>
  </si>
  <si>
    <t>New Hire 7</t>
  </si>
  <si>
    <t>New Hire 8</t>
  </si>
  <si>
    <t>New Hire 9</t>
  </si>
  <si>
    <t>New Hire 10</t>
  </si>
  <si>
    <t>New Hire 11</t>
  </si>
  <si>
    <t>Emp 1</t>
  </si>
  <si>
    <t>Total Hours/month</t>
  </si>
  <si>
    <t>Emp 2</t>
  </si>
  <si>
    <t>Emp 3</t>
  </si>
  <si>
    <t>Emp 4</t>
  </si>
  <si>
    <t>Emp 5</t>
  </si>
  <si>
    <t>Emp 6</t>
  </si>
  <si>
    <t>Emp 7</t>
  </si>
  <si>
    <t>Emp 8</t>
  </si>
  <si>
    <t>Emp 9</t>
  </si>
  <si>
    <t>Emp 10</t>
  </si>
  <si>
    <t>Emp 11</t>
  </si>
  <si>
    <t>Emp 12</t>
  </si>
  <si>
    <t>Emp 13</t>
  </si>
  <si>
    <t>Emp 14</t>
  </si>
  <si>
    <t>Emp 15</t>
  </si>
  <si>
    <t>Emp 16</t>
  </si>
  <si>
    <t>Emp 17</t>
  </si>
  <si>
    <t>Emp 18</t>
  </si>
  <si>
    <t>Emp 19</t>
  </si>
  <si>
    <t>Emp 20</t>
  </si>
  <si>
    <t>Emp 21</t>
  </si>
  <si>
    <t>Emp 22</t>
  </si>
  <si>
    <t>Emp 23</t>
  </si>
  <si>
    <t>Emp 24</t>
  </si>
  <si>
    <t>Emp 25</t>
  </si>
  <si>
    <t>Emp 26</t>
  </si>
  <si>
    <t>Emp 27</t>
  </si>
  <si>
    <t>Emp 28</t>
  </si>
  <si>
    <t>Emp 29</t>
  </si>
  <si>
    <t>Emp 30</t>
  </si>
  <si>
    <t>Emp 31</t>
  </si>
  <si>
    <t>NewCu 1</t>
  </si>
  <si>
    <t>NewCu 2</t>
  </si>
  <si>
    <t>New Cu 3</t>
  </si>
  <si>
    <t>New Cu 4</t>
  </si>
  <si>
    <t>New Cu 5</t>
  </si>
  <si>
    <t>New Cu 6</t>
  </si>
  <si>
    <t>New Cu 7</t>
  </si>
  <si>
    <t>New Cu 8</t>
  </si>
  <si>
    <t>New Cu 9</t>
  </si>
  <si>
    <t>New Cu 10</t>
  </si>
  <si>
    <t>New Cu 11</t>
  </si>
  <si>
    <t>New Sale 1</t>
  </si>
  <si>
    <t>New Sale 2</t>
  </si>
  <si>
    <t>New Sale 3</t>
  </si>
  <si>
    <t>New Sale 4</t>
  </si>
  <si>
    <t>New Sale 5</t>
  </si>
  <si>
    <t>New Sale 6</t>
  </si>
  <si>
    <t>New Sale 7</t>
  </si>
  <si>
    <t>New Sale 8</t>
  </si>
  <si>
    <t>New Sale 9</t>
  </si>
  <si>
    <t>New Sale 10</t>
  </si>
  <si>
    <t>New Sale 11</t>
  </si>
  <si>
    <t>New Sale 12</t>
  </si>
  <si>
    <t>New Sale 13</t>
  </si>
  <si>
    <t>New Sale 14</t>
  </si>
  <si>
    <t xml:space="preserve">1.  No new signings </t>
  </si>
  <si>
    <t>New Customers (45-60 days to pay) (net of commissions)</t>
  </si>
  <si>
    <t>All Other customers pay as expected; budgeted debt &amp; new equity</t>
  </si>
  <si>
    <t>Difference from budget</t>
  </si>
  <si>
    <t>Delayed hires</t>
  </si>
  <si>
    <t>Timing change for new customers</t>
  </si>
  <si>
    <t>Change in pricing for customer signings</t>
  </si>
  <si>
    <t>Company X- Operating Account</t>
  </si>
  <si>
    <t>Actual</t>
  </si>
  <si>
    <t>Raise effective 3/1; paid 4/1</t>
  </si>
  <si>
    <t>Cust Svc</t>
  </si>
  <si>
    <t>Product</t>
  </si>
  <si>
    <t>GA</t>
  </si>
  <si>
    <t>Rolling 13 Week Forecasted Cash Flow - 2022</t>
  </si>
  <si>
    <t>2022 Forecast</t>
  </si>
  <si>
    <t>Customers - Current</t>
  </si>
  <si>
    <t>2021</t>
  </si>
  <si>
    <t>2022 Sale by Month Cash Received</t>
  </si>
  <si>
    <t>New Customers</t>
  </si>
  <si>
    <t>2022 Cash Forecast Scenarios</t>
  </si>
  <si>
    <t>2022 Actual</t>
  </si>
  <si>
    <t>Copyright 2022 Kelley M. Lynch, All Rights Reserved</t>
  </si>
  <si>
    <t xml:space="preserve">Cashflow per 2022 Budget </t>
  </si>
  <si>
    <t xml:space="preserve">Delayed Expenses </t>
  </si>
  <si>
    <t>Primary changes from Budget as  presented to the Board - change within model, but can list major ones here:</t>
  </si>
  <si>
    <t>Bank Savings Account</t>
  </si>
  <si>
    <t>Bank Operating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</si>
</sst>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&quot;$&quot;* #,##0_);_(&quot;$&quot;* \(#,##0\);_(&quot;$&quot;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rgb="FF00B050"/>
      <name val="Arial"/>
      <family val="2"/>
    </font>
    <font>
      <b/>
      <sz val="10.5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sz val="10.5"/>
      <name val="Arial"/>
      <family val="2"/>
    </font>
    <font>
      <b/>
      <u/>
      <sz val="10"/>
      <color theme="1"/>
      <name val="Arial"/>
      <family val="2"/>
    </font>
    <font>
      <b/>
      <u/>
      <sz val="10.5"/>
      <color theme="1"/>
      <name val="Arial"/>
      <family val="2"/>
    </font>
    <font>
      <b/>
      <u/>
      <sz val="10.5"/>
      <color rgb="FF000000"/>
      <name val="Arial"/>
      <family val="2"/>
    </font>
    <font>
      <sz val="9.5"/>
      <color rgb="FF000000"/>
      <name val="Arial"/>
      <family val="2"/>
    </font>
    <font>
      <i/>
      <sz val="10.5"/>
      <color theme="1"/>
      <name val="Arial"/>
      <family val="2"/>
    </font>
    <font>
      <b/>
      <sz val="11"/>
      <color theme="1"/>
      <name val="Arial"/>
      <family val="2"/>
    </font>
    <font>
      <i/>
      <sz val="10.5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.5"/>
      <color theme="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0" tint="-0.499984740745262"/>
      <name val="Arial"/>
      <family val="2"/>
    </font>
    <font>
      <b/>
      <sz val="10.5"/>
      <color theme="0" tint="-0.499984740745262"/>
      <name val="Arial"/>
      <family val="2"/>
    </font>
    <font>
      <sz val="10.5"/>
      <color theme="1"/>
      <name val="Arial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i/>
      <sz val="10.5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.5"/>
      <color theme="9"/>
      <name val="Arial"/>
      <family val="2"/>
    </font>
    <font>
      <i/>
      <sz val="9"/>
      <name val="Arial"/>
      <family val="2"/>
    </font>
    <font>
      <sz val="14"/>
      <color indexed="81"/>
      <name val="Tahoma"/>
      <charset val="1"/>
    </font>
    <font>
      <b/>
      <i/>
      <sz val="10.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7C48E"/>
        <bgColor indexed="64"/>
      </patternFill>
    </fill>
    <fill>
      <patternFill patternType="solid">
        <fgColor rgb="FFD0E5CD"/>
        <bgColor indexed="64"/>
      </patternFill>
    </fill>
    <fill>
      <patternFill patternType="solid">
        <fgColor rgb="FFDBD2E6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E4E4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276">
    <xf numFmtId="0" fontId="0" fillId="0" borderId="0" xfId="0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49" fontId="11" fillId="0" borderId="0" xfId="2" applyNumberFormat="1" applyFont="1" applyAlignment="1">
      <alignment horizontal="center"/>
    </xf>
    <xf numFmtId="49" fontId="11" fillId="0" borderId="0" xfId="2" applyNumberFormat="1" applyFont="1" applyAlignment="1">
      <alignment horizontal="right"/>
    </xf>
    <xf numFmtId="49" fontId="11" fillId="0" borderId="0" xfId="2" applyNumberFormat="1" applyFont="1" applyAlignment="1">
      <alignment horizontal="left"/>
    </xf>
    <xf numFmtId="164" fontId="12" fillId="0" borderId="0" xfId="2" applyNumberFormat="1" applyFont="1"/>
    <xf numFmtId="49" fontId="12" fillId="0" borderId="0" xfId="2" applyNumberFormat="1" applyFont="1"/>
    <xf numFmtId="0" fontId="10" fillId="0" borderId="0" xfId="2" applyFont="1" applyAlignment="1">
      <alignment horizontal="center" wrapText="1"/>
    </xf>
    <xf numFmtId="164" fontId="11" fillId="0" borderId="0" xfId="2" applyNumberFormat="1" applyFont="1" applyAlignment="1">
      <alignment horizontal="center"/>
    </xf>
    <xf numFmtId="0" fontId="8" fillId="0" borderId="0" xfId="0" applyFont="1"/>
    <xf numFmtId="165" fontId="8" fillId="0" borderId="0" xfId="2" applyNumberFormat="1" applyFont="1"/>
    <xf numFmtId="0" fontId="8" fillId="0" borderId="2" xfId="2" applyFont="1" applyBorder="1"/>
    <xf numFmtId="38" fontId="8" fillId="0" borderId="0" xfId="2" applyNumberFormat="1" applyFont="1"/>
    <xf numFmtId="6" fontId="8" fillId="0" borderId="0" xfId="2" applyNumberFormat="1" applyFont="1"/>
    <xf numFmtId="0" fontId="8" fillId="2" borderId="0" xfId="2" applyFont="1" applyFill="1"/>
    <xf numFmtId="0" fontId="10" fillId="2" borderId="0" xfId="2" applyFont="1" applyFill="1"/>
    <xf numFmtId="166" fontId="5" fillId="0" borderId="0" xfId="9" applyNumberFormat="1" applyFont="1"/>
    <xf numFmtId="0" fontId="14" fillId="0" borderId="0" xfId="2" applyFont="1"/>
    <xf numFmtId="0" fontId="8" fillId="0" borderId="0" xfId="2" applyFont="1" applyFill="1"/>
    <xf numFmtId="0" fontId="5" fillId="0" borderId="0" xfId="2" applyFont="1" applyFill="1"/>
    <xf numFmtId="0" fontId="7" fillId="0" borderId="0" xfId="2" applyFont="1" applyFill="1"/>
    <xf numFmtId="0" fontId="8" fillId="0" borderId="0" xfId="2" applyFont="1" applyFill="1" applyAlignment="1">
      <alignment horizontal="center"/>
    </xf>
    <xf numFmtId="49" fontId="12" fillId="0" borderId="0" xfId="2" applyNumberFormat="1" applyFont="1" applyBorder="1"/>
    <xf numFmtId="0" fontId="15" fillId="0" borderId="0" xfId="2" applyFont="1"/>
    <xf numFmtId="49" fontId="16" fillId="0" borderId="0" xfId="2" applyNumberFormat="1" applyFont="1"/>
    <xf numFmtId="37" fontId="12" fillId="0" borderId="0" xfId="2" applyNumberFormat="1" applyFont="1"/>
    <xf numFmtId="37" fontId="8" fillId="0" borderId="0" xfId="2" applyNumberFormat="1" applyFont="1" applyAlignment="1">
      <alignment horizontal="center"/>
    </xf>
    <xf numFmtId="37" fontId="8" fillId="0" borderId="0" xfId="2" applyNumberFormat="1" applyFont="1"/>
    <xf numFmtId="37" fontId="8" fillId="0" borderId="0" xfId="2" applyNumberFormat="1" applyFont="1" applyFill="1"/>
    <xf numFmtId="0" fontId="8" fillId="0" borderId="0" xfId="2" applyFont="1" applyFill="1" applyBorder="1"/>
    <xf numFmtId="0" fontId="18" fillId="0" borderId="0" xfId="2" applyFont="1"/>
    <xf numFmtId="3" fontId="8" fillId="0" borderId="0" xfId="2" applyNumberFormat="1" applyFont="1"/>
    <xf numFmtId="0" fontId="18" fillId="0" borderId="0" xfId="2" applyFont="1" applyFill="1"/>
    <xf numFmtId="0" fontId="21" fillId="0" borderId="0" xfId="0" applyFont="1"/>
    <xf numFmtId="8" fontId="0" fillId="0" borderId="0" xfId="0" applyNumberFormat="1"/>
    <xf numFmtId="14" fontId="0" fillId="0" borderId="0" xfId="0" applyNumberFormat="1"/>
    <xf numFmtId="0" fontId="22" fillId="0" borderId="0" xfId="0" applyFont="1"/>
    <xf numFmtId="0" fontId="23" fillId="0" borderId="0" xfId="0" applyFont="1"/>
    <xf numFmtId="6" fontId="0" fillId="0" borderId="0" xfId="0" applyNumberFormat="1"/>
    <xf numFmtId="6" fontId="22" fillId="0" borderId="0" xfId="0" applyNumberFormat="1" applyFont="1"/>
    <xf numFmtId="0" fontId="0" fillId="0" borderId="0" xfId="0" applyAlignment="1">
      <alignment horizontal="right"/>
    </xf>
    <xf numFmtId="0" fontId="24" fillId="0" borderId="0" xfId="0" applyFont="1"/>
    <xf numFmtId="6" fontId="8" fillId="0" borderId="0" xfId="2" applyNumberFormat="1" applyFont="1" applyFill="1"/>
    <xf numFmtId="6" fontId="18" fillId="0" borderId="0" xfId="2" applyNumberFormat="1" applyFont="1"/>
    <xf numFmtId="165" fontId="8" fillId="0" borderId="0" xfId="2" applyNumberFormat="1" applyFont="1" applyFill="1"/>
    <xf numFmtId="37" fontId="20" fillId="0" borderId="0" xfId="2" applyNumberFormat="1" applyFont="1"/>
    <xf numFmtId="37" fontId="13" fillId="0" borderId="0" xfId="2" applyNumberFormat="1" applyFont="1"/>
    <xf numFmtId="37" fontId="26" fillId="2" borderId="0" xfId="2" applyNumberFormat="1" applyFont="1" applyFill="1"/>
    <xf numFmtId="37" fontId="3" fillId="0" borderId="0" xfId="2" applyNumberFormat="1" applyFont="1"/>
    <xf numFmtId="37" fontId="27" fillId="0" borderId="0" xfId="2" applyNumberFormat="1" applyFont="1"/>
    <xf numFmtId="0" fontId="18" fillId="0" borderId="0" xfId="2" applyFont="1" applyFill="1" applyAlignment="1">
      <alignment horizontal="right"/>
    </xf>
    <xf numFmtId="38" fontId="18" fillId="0" borderId="0" xfId="2" applyNumberFormat="1" applyFont="1" applyAlignment="1">
      <alignment horizontal="right"/>
    </xf>
    <xf numFmtId="6" fontId="18" fillId="0" borderId="0" xfId="2" applyNumberFormat="1" applyFont="1" applyAlignment="1">
      <alignment horizontal="right"/>
    </xf>
    <xf numFmtId="38" fontId="18" fillId="0" borderId="0" xfId="2" applyNumberFormat="1" applyFont="1" applyFill="1" applyAlignment="1">
      <alignment horizontal="right"/>
    </xf>
    <xf numFmtId="165" fontId="18" fillId="0" borderId="0" xfId="1" applyNumberFormat="1" applyFont="1" applyBorder="1" applyAlignment="1">
      <alignment horizontal="right"/>
    </xf>
    <xf numFmtId="165" fontId="8" fillId="0" borderId="0" xfId="2" applyNumberFormat="1" applyFont="1" applyBorder="1"/>
    <xf numFmtId="3" fontId="8" fillId="0" borderId="0" xfId="2" applyNumberFormat="1" applyFont="1" applyBorder="1"/>
    <xf numFmtId="38" fontId="8" fillId="0" borderId="0" xfId="2" applyNumberFormat="1" applyFont="1" applyBorder="1"/>
    <xf numFmtId="0" fontId="8" fillId="0" borderId="0" xfId="2" applyFont="1" applyBorder="1"/>
    <xf numFmtId="3" fontId="10" fillId="0" borderId="0" xfId="2" applyNumberFormat="1" applyFont="1"/>
    <xf numFmtId="0" fontId="10" fillId="0" borderId="0" xfId="2" applyFont="1" applyFill="1"/>
    <xf numFmtId="3" fontId="10" fillId="0" borderId="0" xfId="2" applyNumberFormat="1" applyFont="1" applyBorder="1"/>
    <xf numFmtId="0" fontId="29" fillId="0" borderId="0" xfId="0" applyFont="1" applyAlignment="1">
      <alignment horizontal="right"/>
    </xf>
    <xf numFmtId="37" fontId="21" fillId="0" borderId="0" xfId="0" applyNumberFormat="1" applyFont="1"/>
    <xf numFmtId="0" fontId="30" fillId="0" borderId="0" xfId="0" applyFont="1"/>
    <xf numFmtId="3" fontId="18" fillId="0" borderId="0" xfId="2" applyNumberFormat="1" applyFont="1"/>
    <xf numFmtId="164" fontId="12" fillId="0" borderId="0" xfId="2" applyNumberFormat="1" applyFont="1" applyFill="1"/>
    <xf numFmtId="0" fontId="8" fillId="0" borderId="0" xfId="0" applyFont="1" applyFill="1"/>
    <xf numFmtId="0" fontId="0" fillId="0" borderId="0" xfId="0" applyFill="1"/>
    <xf numFmtId="0" fontId="10" fillId="0" borderId="0" xfId="2" applyFont="1" applyFill="1" applyAlignment="1">
      <alignment horizontal="center" wrapText="1"/>
    </xf>
    <xf numFmtId="0" fontId="15" fillId="0" borderId="0" xfId="2" applyFont="1" applyFill="1"/>
    <xf numFmtId="49" fontId="12" fillId="0" borderId="0" xfId="2" applyNumberFormat="1" applyFont="1" applyFill="1"/>
    <xf numFmtId="38" fontId="18" fillId="0" borderId="0" xfId="2" applyNumberFormat="1" applyFont="1" applyFill="1"/>
    <xf numFmtId="38" fontId="8" fillId="0" borderId="0" xfId="2" applyNumberFormat="1" applyFont="1" applyFill="1"/>
    <xf numFmtId="16" fontId="0" fillId="0" borderId="0" xfId="0" applyNumberFormat="1"/>
    <xf numFmtId="37" fontId="31" fillId="0" borderId="1" xfId="2" applyNumberFormat="1" applyFont="1" applyFill="1" applyBorder="1"/>
    <xf numFmtId="37" fontId="31" fillId="0" borderId="1" xfId="2" applyNumberFormat="1" applyFont="1" applyBorder="1"/>
    <xf numFmtId="37" fontId="32" fillId="0" borderId="1" xfId="2" applyNumberFormat="1" applyFont="1" applyBorder="1"/>
    <xf numFmtId="37" fontId="31" fillId="0" borderId="2" xfId="2" applyNumberFormat="1" applyFont="1" applyBorder="1"/>
    <xf numFmtId="0" fontId="31" fillId="0" borderId="0" xfId="2" applyFont="1"/>
    <xf numFmtId="37" fontId="31" fillId="0" borderId="4" xfId="2" applyNumberFormat="1" applyFont="1" applyBorder="1"/>
    <xf numFmtId="9" fontId="5" fillId="0" borderId="0" xfId="2" applyNumberFormat="1" applyFont="1" applyFill="1"/>
    <xf numFmtId="0" fontId="8" fillId="0" borderId="4" xfId="2" applyFont="1" applyFill="1" applyBorder="1"/>
    <xf numFmtId="165" fontId="8" fillId="0" borderId="0" xfId="2" applyNumberFormat="1" applyFont="1" applyFill="1" applyBorder="1" applyAlignment="1">
      <alignment horizontal="right"/>
    </xf>
    <xf numFmtId="0" fontId="8" fillId="0" borderId="0" xfId="2" applyFont="1" applyFill="1" applyAlignment="1">
      <alignment horizontal="right"/>
    </xf>
    <xf numFmtId="6" fontId="0" fillId="0" borderId="0" xfId="0" applyNumberFormat="1" applyFill="1"/>
    <xf numFmtId="0" fontId="33" fillId="0" borderId="0" xfId="2" applyFont="1"/>
    <xf numFmtId="37" fontId="31" fillId="0" borderId="5" xfId="2" applyNumberFormat="1" applyFont="1" applyFill="1" applyBorder="1"/>
    <xf numFmtId="166" fontId="8" fillId="0" borderId="0" xfId="2" applyNumberFormat="1" applyFont="1"/>
    <xf numFmtId="0" fontId="13" fillId="0" borderId="0" xfId="2" applyFont="1"/>
    <xf numFmtId="0" fontId="22" fillId="0" borderId="0" xfId="0" applyFont="1" applyBorder="1" applyAlignment="1">
      <alignment horizontal="center"/>
    </xf>
    <xf numFmtId="6" fontId="2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21" fillId="0" borderId="0" xfId="0" applyNumberFormat="1" applyFont="1" applyAlignment="1">
      <alignment horizontal="left"/>
    </xf>
    <xf numFmtId="0" fontId="0" fillId="0" borderId="0" xfId="0" applyFont="1"/>
    <xf numFmtId="37" fontId="38" fillId="0" borderId="0" xfId="2" applyNumberFormat="1" applyFont="1" applyAlignment="1">
      <alignment horizontal="center"/>
    </xf>
    <xf numFmtId="3" fontId="18" fillId="0" borderId="0" xfId="2" applyNumberFormat="1" applyFont="1" applyBorder="1" applyAlignment="1">
      <alignment horizontal="right"/>
    </xf>
    <xf numFmtId="165" fontId="8" fillId="0" borderId="0" xfId="1" applyNumberFormat="1" applyFont="1" applyBorder="1"/>
    <xf numFmtId="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6" fontId="23" fillId="0" borderId="0" xfId="0" applyNumberFormat="1" applyFont="1"/>
    <xf numFmtId="0" fontId="23" fillId="0" borderId="0" xfId="0" applyFont="1" applyAlignment="1">
      <alignment horizontal="right"/>
    </xf>
    <xf numFmtId="165" fontId="18" fillId="0" borderId="3" xfId="2" applyNumberFormat="1" applyFont="1" applyBorder="1" applyAlignment="1">
      <alignment horizontal="center"/>
    </xf>
    <xf numFmtId="0" fontId="18" fillId="0" borderId="6" xfId="2" applyFont="1" applyFill="1" applyBorder="1" applyAlignment="1">
      <alignment horizontal="center"/>
    </xf>
    <xf numFmtId="0" fontId="18" fillId="0" borderId="3" xfId="2" applyFont="1" applyFill="1" applyBorder="1" applyAlignment="1">
      <alignment horizontal="center"/>
    </xf>
    <xf numFmtId="6" fontId="21" fillId="0" borderId="0" xfId="0" applyNumberFormat="1" applyFont="1" applyAlignment="1">
      <alignment horizontal="right"/>
    </xf>
    <xf numFmtId="0" fontId="24" fillId="0" borderId="0" xfId="0" applyFont="1" applyFill="1" applyAlignment="1">
      <alignment horizontal="center"/>
    </xf>
    <xf numFmtId="6" fontId="0" fillId="0" borderId="0" xfId="0" applyNumberFormat="1" applyFill="1" applyAlignment="1">
      <alignment horizontal="right"/>
    </xf>
    <xf numFmtId="6" fontId="22" fillId="0" borderId="0" xfId="0" applyNumberFormat="1" applyFont="1" applyFill="1" applyAlignment="1">
      <alignment horizontal="right"/>
    </xf>
    <xf numFmtId="0" fontId="22" fillId="3" borderId="0" xfId="0" applyFont="1" applyFill="1"/>
    <xf numFmtId="6" fontId="22" fillId="3" borderId="0" xfId="0" applyNumberFormat="1" applyFont="1" applyFill="1" applyAlignment="1">
      <alignment horizontal="right"/>
    </xf>
    <xf numFmtId="38" fontId="25" fillId="0" borderId="0" xfId="2" applyNumberFormat="1" applyFont="1" applyFill="1"/>
    <xf numFmtId="3" fontId="21" fillId="0" borderId="0" xfId="0" applyNumberFormat="1" applyFont="1" applyFill="1"/>
    <xf numFmtId="3" fontId="21" fillId="0" borderId="0" xfId="0" applyNumberFormat="1" applyFont="1"/>
    <xf numFmtId="37" fontId="12" fillId="0" borderId="0" xfId="2" applyNumberFormat="1" applyFont="1" applyFill="1"/>
    <xf numFmtId="0" fontId="8" fillId="0" borderId="7" xfId="2" applyFont="1" applyFill="1" applyBorder="1" applyAlignment="1">
      <alignment horizontal="center"/>
    </xf>
    <xf numFmtId="0" fontId="0" fillId="0" borderId="7" xfId="0" applyBorder="1"/>
    <xf numFmtId="0" fontId="8" fillId="0" borderId="1" xfId="2" applyFont="1" applyFill="1" applyBorder="1"/>
    <xf numFmtId="16" fontId="8" fillId="0" borderId="7" xfId="2" applyNumberFormat="1" applyFont="1" applyFill="1" applyBorder="1" applyAlignment="1">
      <alignment horizontal="center"/>
    </xf>
    <xf numFmtId="37" fontId="39" fillId="0" borderId="0" xfId="2" applyNumberFormat="1" applyFont="1" applyFill="1"/>
    <xf numFmtId="37" fontId="27" fillId="0" borderId="0" xfId="2" applyNumberFormat="1" applyFont="1" applyFill="1"/>
    <xf numFmtId="38" fontId="8" fillId="4" borderId="0" xfId="2" applyNumberFormat="1" applyFont="1" applyFill="1"/>
    <xf numFmtId="37" fontId="26" fillId="0" borderId="1" xfId="2" applyNumberFormat="1" applyFont="1" applyFill="1" applyBorder="1"/>
    <xf numFmtId="37" fontId="26" fillId="0" borderId="1" xfId="2" applyNumberFormat="1" applyFont="1" applyBorder="1"/>
    <xf numFmtId="37" fontId="12" fillId="0" borderId="1" xfId="2" applyNumberFormat="1" applyFont="1" applyBorder="1"/>
    <xf numFmtId="37" fontId="11" fillId="0" borderId="1" xfId="2" applyNumberFormat="1" applyFont="1" applyBorder="1"/>
    <xf numFmtId="0" fontId="39" fillId="0" borderId="0" xfId="2" applyFont="1" applyFill="1"/>
    <xf numFmtId="0" fontId="39" fillId="0" borderId="0" xfId="2" applyFont="1" applyFill="1" applyAlignment="1">
      <alignment horizontal="center"/>
    </xf>
    <xf numFmtId="165" fontId="39" fillId="0" borderId="0" xfId="2" applyNumberFormat="1" applyFont="1" applyFill="1"/>
    <xf numFmtId="0" fontId="40" fillId="0" borderId="0" xfId="2" applyFont="1" applyFill="1"/>
    <xf numFmtId="0" fontId="39" fillId="0" borderId="0" xfId="2" applyFont="1"/>
    <xf numFmtId="3" fontId="39" fillId="0" borderId="0" xfId="2" applyNumberFormat="1" applyFont="1" applyFill="1"/>
    <xf numFmtId="0" fontId="41" fillId="0" borderId="0" xfId="2" applyFont="1" applyFill="1"/>
    <xf numFmtId="165" fontId="39" fillId="0" borderId="0" xfId="2" applyNumberFormat="1" applyFont="1" applyFill="1" applyBorder="1" applyAlignment="1">
      <alignment horizontal="right"/>
    </xf>
    <xf numFmtId="37" fontId="42" fillId="0" borderId="1" xfId="2" applyNumberFormat="1" applyFont="1" applyFill="1" applyBorder="1"/>
    <xf numFmtId="0" fontId="42" fillId="0" borderId="0" xfId="2" applyFont="1"/>
    <xf numFmtId="166" fontId="5" fillId="0" borderId="0" xfId="9" applyNumberFormat="1" applyFont="1" applyFill="1"/>
    <xf numFmtId="0" fontId="3" fillId="0" borderId="0" xfId="2" applyFont="1"/>
    <xf numFmtId="37" fontId="43" fillId="0" borderId="0" xfId="2" applyNumberFormat="1" applyFont="1" applyAlignment="1">
      <alignment horizontal="center"/>
    </xf>
    <xf numFmtId="49" fontId="11" fillId="5" borderId="0" xfId="2" applyNumberFormat="1" applyFont="1" applyFill="1" applyAlignment="1">
      <alignment horizontal="left"/>
    </xf>
    <xf numFmtId="37" fontId="12" fillId="6" borderId="0" xfId="2" applyNumberFormat="1" applyFont="1" applyFill="1"/>
    <xf numFmtId="0" fontId="18" fillId="6" borderId="0" xfId="2" applyFont="1" applyFill="1"/>
    <xf numFmtId="37" fontId="20" fillId="6" borderId="0" xfId="2" applyNumberFormat="1" applyFont="1" applyFill="1"/>
    <xf numFmtId="0" fontId="8" fillId="7" borderId="0" xfId="2" applyFont="1" applyFill="1"/>
    <xf numFmtId="37" fontId="13" fillId="7" borderId="0" xfId="2" applyNumberFormat="1" applyFont="1" applyFill="1"/>
    <xf numFmtId="0" fontId="8" fillId="4" borderId="0" xfId="2" applyFont="1" applyFill="1"/>
    <xf numFmtId="3" fontId="12" fillId="8" borderId="0" xfId="0" applyNumberFormat="1" applyFont="1" applyFill="1"/>
    <xf numFmtId="0" fontId="8" fillId="0" borderId="9" xfId="2" applyFont="1" applyFill="1" applyBorder="1"/>
    <xf numFmtId="37" fontId="31" fillId="0" borderId="10" xfId="2" applyNumberFormat="1" applyFont="1" applyBorder="1"/>
    <xf numFmtId="37" fontId="31" fillId="0" borderId="11" xfId="2" applyNumberFormat="1" applyFont="1" applyBorder="1"/>
    <xf numFmtId="37" fontId="26" fillId="0" borderId="4" xfId="2" applyNumberFormat="1" applyFont="1" applyBorder="1"/>
    <xf numFmtId="37" fontId="31" fillId="0" borderId="4" xfId="2" applyNumberFormat="1" applyFont="1" applyFill="1" applyBorder="1"/>
    <xf numFmtId="37" fontId="31" fillId="0" borderId="10" xfId="2" applyNumberFormat="1" applyFont="1" applyFill="1" applyBorder="1"/>
    <xf numFmtId="37" fontId="31" fillId="0" borderId="11" xfId="2" applyNumberFormat="1" applyFont="1" applyFill="1" applyBorder="1"/>
    <xf numFmtId="37" fontId="9" fillId="0" borderId="4" xfId="2" applyNumberFormat="1" applyFont="1" applyFill="1" applyBorder="1"/>
    <xf numFmtId="37" fontId="31" fillId="0" borderId="12" xfId="2" applyNumberFormat="1" applyFont="1" applyBorder="1"/>
    <xf numFmtId="37" fontId="31" fillId="0" borderId="9" xfId="2" applyNumberFormat="1" applyFont="1" applyBorder="1"/>
    <xf numFmtId="37" fontId="31" fillId="0" borderId="12" xfId="2" applyNumberFormat="1" applyFont="1" applyFill="1" applyBorder="1"/>
    <xf numFmtId="37" fontId="31" fillId="0" borderId="9" xfId="2" applyNumberFormat="1" applyFont="1" applyFill="1" applyBorder="1"/>
    <xf numFmtId="37" fontId="11" fillId="0" borderId="4" xfId="2" applyNumberFormat="1" applyFont="1" applyBorder="1"/>
    <xf numFmtId="39" fontId="13" fillId="0" borderId="0" xfId="2" applyNumberFormat="1" applyFont="1"/>
    <xf numFmtId="0" fontId="8" fillId="0" borderId="4" xfId="2" applyFont="1" applyBorder="1"/>
    <xf numFmtId="6" fontId="21" fillId="0" borderId="0" xfId="0" applyNumberFormat="1" applyFont="1"/>
    <xf numFmtId="37" fontId="12" fillId="0" borderId="4" xfId="2" applyNumberFormat="1" applyFont="1" applyBorder="1"/>
    <xf numFmtId="37" fontId="26" fillId="0" borderId="12" xfId="2" applyNumberFormat="1" applyFont="1" applyFill="1" applyBorder="1"/>
    <xf numFmtId="37" fontId="31" fillId="0" borderId="13" xfId="2" applyNumberFormat="1" applyFont="1" applyFill="1" applyBorder="1"/>
    <xf numFmtId="37" fontId="31" fillId="0" borderId="14" xfId="2" applyNumberFormat="1" applyFont="1" applyFill="1" applyBorder="1"/>
    <xf numFmtId="37" fontId="12" fillId="0" borderId="1" xfId="2" applyNumberFormat="1" applyFont="1" applyFill="1" applyBorder="1"/>
    <xf numFmtId="37" fontId="9" fillId="0" borderId="4" xfId="2" applyNumberFormat="1" applyFont="1" applyBorder="1"/>
    <xf numFmtId="37" fontId="12" fillId="0" borderId="2" xfId="2" applyNumberFormat="1" applyFont="1" applyBorder="1"/>
    <xf numFmtId="37" fontId="12" fillId="0" borderId="11" xfId="2" applyNumberFormat="1" applyFont="1" applyBorder="1"/>
    <xf numFmtId="0" fontId="12" fillId="0" borderId="4" xfId="2" applyFont="1" applyFill="1" applyBorder="1"/>
    <xf numFmtId="37" fontId="12" fillId="0" borderId="10" xfId="2" applyNumberFormat="1" applyFont="1" applyBorder="1"/>
    <xf numFmtId="37" fontId="12" fillId="0" borderId="4" xfId="2" applyNumberFormat="1" applyFont="1" applyFill="1" applyBorder="1"/>
    <xf numFmtId="37" fontId="5" fillId="0" borderId="0" xfId="2" applyNumberFormat="1" applyFont="1" applyFill="1"/>
    <xf numFmtId="39" fontId="8" fillId="0" borderId="4" xfId="2" applyNumberFormat="1" applyFont="1" applyFill="1" applyBorder="1"/>
    <xf numFmtId="37" fontId="31" fillId="0" borderId="13" xfId="2" applyNumberFormat="1" applyFont="1" applyBorder="1"/>
    <xf numFmtId="37" fontId="26" fillId="0" borderId="12" xfId="2" applyNumberFormat="1" applyFont="1" applyBorder="1"/>
    <xf numFmtId="0" fontId="18" fillId="0" borderId="0" xfId="2" applyFont="1" applyFill="1" applyBorder="1" applyAlignment="1">
      <alignment horizontal="center"/>
    </xf>
    <xf numFmtId="165" fontId="18" fillId="0" borderId="0" xfId="2" applyNumberFormat="1" applyFont="1" applyFill="1" applyBorder="1" applyAlignment="1">
      <alignment horizontal="right"/>
    </xf>
    <xf numFmtId="37" fontId="31" fillId="0" borderId="15" xfId="2" applyNumberFormat="1" applyFont="1" applyFill="1" applyBorder="1"/>
    <xf numFmtId="37" fontId="31" fillId="0" borderId="16" xfId="2" applyNumberFormat="1" applyFont="1" applyFill="1" applyBorder="1"/>
    <xf numFmtId="37" fontId="42" fillId="0" borderId="16" xfId="2" applyNumberFormat="1" applyFont="1" applyBorder="1"/>
    <xf numFmtId="37" fontId="31" fillId="0" borderId="17" xfId="2" applyNumberFormat="1" applyFont="1" applyFill="1" applyBorder="1"/>
    <xf numFmtId="165" fontId="18" fillId="0" borderId="2" xfId="1" applyNumberFormat="1" applyFont="1" applyBorder="1" applyAlignment="1">
      <alignment horizontal="right"/>
    </xf>
    <xf numFmtId="6" fontId="8" fillId="0" borderId="0" xfId="2" applyNumberFormat="1" applyFont="1" applyBorder="1"/>
    <xf numFmtId="3" fontId="18" fillId="0" borderId="0" xfId="2" applyNumberFormat="1" applyFont="1" applyBorder="1"/>
    <xf numFmtId="37" fontId="31" fillId="0" borderId="14" xfId="2" applyNumberFormat="1" applyFont="1" applyBorder="1"/>
    <xf numFmtId="37" fontId="31" fillId="0" borderId="18" xfId="2" applyNumberFormat="1" applyFont="1" applyFill="1" applyBorder="1"/>
    <xf numFmtId="0" fontId="8" fillId="0" borderId="1" xfId="2" applyFont="1" applyBorder="1"/>
    <xf numFmtId="166" fontId="5" fillId="9" borderId="0" xfId="9" applyNumberFormat="1" applyFont="1" applyFill="1"/>
    <xf numFmtId="0" fontId="5" fillId="9" borderId="0" xfId="2" applyFont="1" applyFill="1"/>
    <xf numFmtId="37" fontId="3" fillId="9" borderId="0" xfId="2" applyNumberFormat="1" applyFont="1" applyFill="1"/>
    <xf numFmtId="37" fontId="5" fillId="9" borderId="0" xfId="2" applyNumberFormat="1" applyFont="1" applyFill="1"/>
    <xf numFmtId="37" fontId="31" fillId="0" borderId="19" xfId="2" applyNumberFormat="1" applyFont="1" applyBorder="1"/>
    <xf numFmtId="37" fontId="31" fillId="0" borderId="5" xfId="2" applyNumberFormat="1" applyFont="1" applyBorder="1"/>
    <xf numFmtId="37" fontId="31" fillId="0" borderId="20" xfId="2" applyNumberFormat="1" applyFont="1" applyBorder="1"/>
    <xf numFmtId="37" fontId="31" fillId="0" borderId="6" xfId="2" applyNumberFormat="1" applyFont="1" applyBorder="1"/>
    <xf numFmtId="37" fontId="11" fillId="0" borderId="8" xfId="2" applyNumberFormat="1" applyFont="1" applyBorder="1"/>
    <xf numFmtId="39" fontId="8" fillId="0" borderId="0" xfId="2" applyNumberFormat="1" applyFont="1" applyFill="1"/>
    <xf numFmtId="37" fontId="31" fillId="0" borderId="23" xfId="2" applyNumberFormat="1" applyFont="1" applyBorder="1"/>
    <xf numFmtId="37" fontId="11" fillId="0" borderId="5" xfId="2" applyNumberFormat="1" applyFont="1" applyFill="1" applyBorder="1"/>
    <xf numFmtId="0" fontId="8" fillId="0" borderId="5" xfId="2" applyFont="1" applyFill="1" applyBorder="1"/>
    <xf numFmtId="0" fontId="10" fillId="0" borderId="5" xfId="2" applyFont="1" applyFill="1" applyBorder="1"/>
    <xf numFmtId="37" fontId="11" fillId="0" borderId="19" xfId="2" applyNumberFormat="1" applyFont="1" applyBorder="1"/>
    <xf numFmtId="37" fontId="11" fillId="0" borderId="5" xfId="2" applyNumberFormat="1" applyFont="1" applyBorder="1"/>
    <xf numFmtId="37" fontId="31" fillId="0" borderId="22" xfId="2" applyNumberFormat="1" applyFont="1" applyBorder="1"/>
    <xf numFmtId="37" fontId="31" fillId="0" borderId="8" xfId="2" applyNumberFormat="1" applyFont="1" applyBorder="1"/>
    <xf numFmtId="37" fontId="31" fillId="0" borderId="24" xfId="2" applyNumberFormat="1" applyFont="1" applyBorder="1"/>
    <xf numFmtId="37" fontId="31" fillId="0" borderId="0" xfId="2" applyNumberFormat="1" applyFont="1" applyBorder="1"/>
    <xf numFmtId="37" fontId="31" fillId="0" borderId="21" xfId="2" applyNumberFormat="1" applyFont="1" applyBorder="1"/>
    <xf numFmtId="37" fontId="31" fillId="0" borderId="7" xfId="2" applyNumberFormat="1" applyFont="1" applyBorder="1"/>
    <xf numFmtId="37" fontId="11" fillId="0" borderId="25" xfId="2" applyNumberFormat="1" applyFont="1" applyBorder="1"/>
    <xf numFmtId="37" fontId="11" fillId="0" borderId="22" xfId="2" applyNumberFormat="1" applyFont="1" applyBorder="1"/>
    <xf numFmtId="37" fontId="13" fillId="0" borderId="1" xfId="2" applyNumberFormat="1" applyFont="1" applyBorder="1"/>
    <xf numFmtId="37" fontId="11" fillId="0" borderId="14" xfId="2" applyNumberFormat="1" applyFont="1" applyBorder="1"/>
    <xf numFmtId="6" fontId="24" fillId="0" borderId="0" xfId="0" applyNumberFormat="1" applyFont="1" applyAlignment="1">
      <alignment horizontal="left" indent="1"/>
    </xf>
    <xf numFmtId="0" fontId="24" fillId="0" borderId="0" xfId="0" applyFont="1" applyAlignment="1">
      <alignment horizontal="left" indent="1"/>
    </xf>
    <xf numFmtId="165" fontId="18" fillId="0" borderId="0" xfId="1" applyNumberFormat="1" applyFont="1" applyAlignment="1">
      <alignment horizontal="right"/>
    </xf>
    <xf numFmtId="165" fontId="8" fillId="0" borderId="0" xfId="1" applyNumberFormat="1" applyFont="1"/>
    <xf numFmtId="38" fontId="18" fillId="0" borderId="0" xfId="2" applyNumberFormat="1" applyFont="1"/>
    <xf numFmtId="3" fontId="18" fillId="0" borderId="0" xfId="2" applyNumberFormat="1" applyFont="1" applyAlignment="1">
      <alignment horizontal="right"/>
    </xf>
    <xf numFmtId="0" fontId="18" fillId="0" borderId="0" xfId="2" applyFont="1" applyAlignment="1">
      <alignment horizontal="right"/>
    </xf>
    <xf numFmtId="16" fontId="8" fillId="0" borderId="7" xfId="2" applyNumberFormat="1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37" fontId="5" fillId="0" borderId="0" xfId="2" applyNumberFormat="1" applyFont="1"/>
    <xf numFmtId="37" fontId="12" fillId="0" borderId="12" xfId="2" applyNumberFormat="1" applyFont="1" applyBorder="1"/>
    <xf numFmtId="37" fontId="42" fillId="0" borderId="1" xfId="2" applyNumberFormat="1" applyFont="1" applyBorder="1"/>
    <xf numFmtId="39" fontId="8" fillId="0" borderId="4" xfId="2" applyNumberFormat="1" applyFont="1" applyBorder="1"/>
    <xf numFmtId="0" fontId="10" fillId="0" borderId="24" xfId="2" applyFont="1" applyFill="1" applyBorder="1"/>
    <xf numFmtId="165" fontId="39" fillId="0" borderId="0" xfId="2" applyNumberFormat="1" applyFont="1"/>
    <xf numFmtId="37" fontId="10" fillId="0" borderId="4" xfId="2" applyNumberFormat="1" applyFont="1" applyFill="1" applyBorder="1"/>
    <xf numFmtId="38" fontId="25" fillId="0" borderId="0" xfId="2" applyNumberFormat="1" applyFont="1"/>
    <xf numFmtId="37" fontId="11" fillId="0" borderId="12" xfId="2" applyNumberFormat="1" applyFont="1" applyBorder="1"/>
    <xf numFmtId="37" fontId="31" fillId="0" borderId="7" xfId="2" applyNumberFormat="1" applyFont="1" applyFill="1" applyBorder="1"/>
    <xf numFmtId="0" fontId="8" fillId="0" borderId="11" xfId="2" applyFont="1" applyFill="1" applyBorder="1"/>
    <xf numFmtId="0" fontId="8" fillId="0" borderId="9" xfId="2" applyFont="1" applyBorder="1"/>
    <xf numFmtId="37" fontId="12" fillId="0" borderId="8" xfId="2" applyNumberFormat="1" applyFont="1" applyBorder="1"/>
    <xf numFmtId="0" fontId="5" fillId="10" borderId="0" xfId="2" applyFont="1" applyFill="1"/>
    <xf numFmtId="0" fontId="19" fillId="0" borderId="0" xfId="2" applyFont="1" applyFill="1" applyBorder="1" applyAlignment="1"/>
    <xf numFmtId="0" fontId="19" fillId="0" borderId="0" xfId="2" applyFont="1" applyAlignment="1"/>
    <xf numFmtId="0" fontId="18" fillId="0" borderId="0" xfId="2" applyFont="1" applyBorder="1"/>
    <xf numFmtId="0" fontId="8" fillId="0" borderId="0" xfId="2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0" fillId="0" borderId="0" xfId="0" applyBorder="1"/>
    <xf numFmtId="0" fontId="39" fillId="0" borderId="0" xfId="2" applyFont="1" applyFill="1" applyBorder="1"/>
    <xf numFmtId="0" fontId="25" fillId="0" borderId="0" xfId="2" applyFont="1" applyFill="1" applyBorder="1"/>
    <xf numFmtId="165" fontId="18" fillId="0" borderId="0" xfId="2" applyNumberFormat="1" applyFont="1" applyBorder="1" applyAlignment="1">
      <alignment horizontal="right"/>
    </xf>
    <xf numFmtId="165" fontId="8" fillId="0" borderId="0" xfId="2" applyNumberFormat="1" applyFont="1" applyFill="1" applyBorder="1"/>
    <xf numFmtId="37" fontId="18" fillId="0" borderId="0" xfId="2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24" fillId="11" borderId="0" xfId="0" applyFont="1" applyFill="1" applyAlignment="1">
      <alignment horizontal="center"/>
    </xf>
    <xf numFmtId="6" fontId="0" fillId="11" borderId="0" xfId="0" applyNumberFormat="1" applyFill="1" applyAlignment="1">
      <alignment horizontal="right"/>
    </xf>
    <xf numFmtId="0" fontId="0" fillId="11" borderId="0" xfId="0" applyFill="1"/>
    <xf numFmtId="3" fontId="21" fillId="11" borderId="0" xfId="0" applyNumberFormat="1" applyFont="1" applyFill="1"/>
    <xf numFmtId="6" fontId="22" fillId="11" borderId="0" xfId="0" applyNumberFormat="1" applyFont="1" applyFill="1" applyAlignment="1">
      <alignment horizontal="right"/>
    </xf>
    <xf numFmtId="6" fontId="0" fillId="11" borderId="0" xfId="0" applyNumberFormat="1" applyFill="1"/>
    <xf numFmtId="6" fontId="21" fillId="11" borderId="0" xfId="0" applyNumberFormat="1" applyFont="1" applyFill="1"/>
    <xf numFmtId="0" fontId="19" fillId="0" borderId="3" xfId="2" applyFont="1" applyFill="1" applyBorder="1" applyAlignment="1"/>
    <xf numFmtId="9" fontId="8" fillId="0" borderId="0" xfId="2" applyNumberFormat="1" applyFont="1" applyFill="1" applyBorder="1"/>
    <xf numFmtId="0" fontId="38" fillId="0" borderId="0" xfId="2" applyFont="1" applyFill="1" applyAlignment="1">
      <alignment horizontal="left"/>
    </xf>
    <xf numFmtId="49" fontId="45" fillId="0" borderId="0" xfId="2" applyNumberFormat="1" applyFont="1" applyFill="1" applyAlignment="1">
      <alignment horizontal="center"/>
    </xf>
    <xf numFmtId="165" fontId="18" fillId="0" borderId="3" xfId="2" quotePrefix="1" applyNumberFormat="1" applyFont="1" applyBorder="1" applyAlignment="1">
      <alignment horizontal="center"/>
    </xf>
    <xf numFmtId="0" fontId="19" fillId="10" borderId="3" xfId="2" applyFont="1" applyFill="1" applyBorder="1" applyAlignment="1">
      <alignment horizontal="center"/>
    </xf>
    <xf numFmtId="0" fontId="19" fillId="12" borderId="3" xfId="2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11" borderId="0" xfId="0" applyFont="1" applyFill="1" applyAlignment="1">
      <alignment horizontal="center"/>
    </xf>
  </cellXfs>
  <cellStyles count="10">
    <cellStyle name="Comma" xfId="1" builtinId="3"/>
    <cellStyle name="Comma 12" xfId="3" xr:uid="{00000000-0005-0000-0000-000001000000}"/>
    <cellStyle name="Comma 6 2" xfId="5" xr:uid="{00000000-0005-0000-0000-000002000000}"/>
    <cellStyle name="Currency" xfId="9" builtinId="4"/>
    <cellStyle name="Currency 6" xfId="7" xr:uid="{00000000-0005-0000-0000-000004000000}"/>
    <cellStyle name="Normal" xfId="0" builtinId="0"/>
    <cellStyle name="Normal 18" xfId="2" xr:uid="{00000000-0005-0000-0000-000006000000}"/>
    <cellStyle name="Normal 2" xfId="8" xr:uid="{00000000-0005-0000-0000-000007000000}"/>
    <cellStyle name="Normal 9" xfId="4" xr:uid="{00000000-0005-0000-0000-000008000000}"/>
    <cellStyle name="Percent 7" xfId="6" xr:uid="{00000000-0005-0000-0000-000009000000}"/>
  </cellStyles>
  <dxfs count="0"/>
  <tableStyles count="0" defaultTableStyle="TableStyleMedium2" defaultPivotStyle="PivotStyleMedium9"/>
  <colors>
    <mruColors>
      <color rgb="FFE4E4E4"/>
      <color rgb="FFFFFF99"/>
      <color rgb="FFDBD2E6"/>
      <color rgb="FF967BB6"/>
      <color rgb="FFD8B2D1"/>
      <color rgb="FFD0E5CD"/>
      <color rgb="FFD9EAD6"/>
      <color rgb="FF97C48E"/>
      <color rgb="FFC5DEC0"/>
      <color rgb="FFB9D7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07T16:04:25.45" personId="{00000000-0000-0000-0000-000000000000}" id="{CDDF988C-BD3B-44FB-8913-8E52C0B3D421}">
    <text>due 2/6/2021; rec'd 2/5/2021</text>
  </threadedComment>
  <threadedComment ref="F27" dT="2021-01-07T16:04:34.41" personId="{00000000-0000-0000-0000-000000000000}" id="{8EB52C76-1727-4F8B-946E-6E14ECF9DA31}">
    <text>due 1/15/2021; rec'd 1/21/2021</text>
  </threadedComment>
  <threadedComment ref="M31" dT="2021-02-26T15:01:23.29" personId="{00000000-0000-0000-0000-000000000000}" id="{C3E5F57C-7D8E-4D09-8F7C-6ABE7551EB44}">
    <text>due 2/5/21; rec'd 2/26/21</text>
  </threadedComment>
  <threadedComment ref="Q32" dT="2021-01-07T16:03:42.46" personId="{00000000-0000-0000-0000-000000000000}" id="{8DBE63B7-95A7-4302-821F-362B2A0DA4EB}">
    <text>due 12/18/2020; rec'd 1/21/2021</text>
  </threadedComment>
  <threadedComment ref="D33" dT="2021-01-07T16:03:51.16" personId="{00000000-0000-0000-0000-000000000000}" id="{40FE2475-01AF-4681-9FC7-409A19E1D215}">
    <text>due 9/19/2020</text>
  </threadedComment>
  <threadedComment ref="E35" dT="2021-01-07T16:03:58.51" personId="{00000000-0000-0000-0000-000000000000}" id="{DBAAACE3-67FB-481A-AD90-8306506164AA}">
    <text>due 12/13/2020; rec'd 1/11/2021</text>
  </threadedComment>
  <threadedComment ref="Z40" dT="2021-03-08T17:04:16.39" personId="{00000000-0000-0000-0000-000000000000}" id="{B117A37B-2D83-48AC-AE58-798DE7492A4C}">
    <text>due 4/8/21</text>
  </threadedComment>
  <threadedComment ref="Y42" dT="2021-03-08T17:04:18.89" personId="{00000000-0000-0000-0000-000000000000}" id="{7398EDB7-6BF3-40C4-A69B-5292E572CD5C}">
    <text>due 4/8/21</text>
  </threadedComment>
  <threadedComment ref="V46" dT="2021-01-07T16:05:37.60" personId="{00000000-0000-0000-0000-000000000000}" id="{2B5D6617-5285-465E-9AB8-4EE261285512}">
    <text>due 1/14/2021</text>
  </threadedComment>
  <threadedComment ref="Y53" dT="2021-03-12T18:27:43.30" personId="{00000000-0000-0000-0000-000000000000}" id="{736F0BF8-380F-4123-9F32-56D8D913CB90}">
    <text>due 4/12/21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04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6" sqref="A6"/>
      <selection pane="bottomRight" activeCell="B50" sqref="B50"/>
    </sheetView>
  </sheetViews>
  <sheetFormatPr defaultColWidth="9.140625" defaultRowHeight="15" outlineLevelRow="1" x14ac:dyDescent="0.25"/>
  <cols>
    <col min="1" max="1" width="13.28515625" style="2" customWidth="1"/>
    <col min="2" max="2" width="36.140625" style="2" customWidth="1"/>
    <col min="3" max="3" width="9.140625" style="28"/>
    <col min="4" max="7" width="11.7109375" style="28" hidden="1" customWidth="1"/>
    <col min="8" max="8" width="11.7109375" style="28" bestFit="1" customWidth="1"/>
    <col min="9" max="9" width="1.85546875" customWidth="1"/>
    <col min="10" max="13" width="11.5703125" style="28" hidden="1" customWidth="1"/>
    <col min="14" max="14" width="11.5703125" style="28" bestFit="1" customWidth="1"/>
    <col min="15" max="15" width="1.85546875" customWidth="1"/>
    <col min="16" max="19" width="13.5703125" style="28" customWidth="1"/>
    <col min="20" max="20" width="13.5703125" style="28" bestFit="1" customWidth="1"/>
    <col min="21" max="21" width="1.7109375" customWidth="1"/>
    <col min="22" max="26" width="12.7109375" style="2" customWidth="1"/>
    <col min="27" max="27" width="12.7109375" style="28" bestFit="1" customWidth="1"/>
    <col min="28" max="28" width="1.7109375" customWidth="1"/>
    <col min="29" max="32" width="11.7109375" style="28" customWidth="1"/>
    <col min="33" max="33" width="11.7109375" style="28" bestFit="1" customWidth="1"/>
    <col min="34" max="34" width="1.7109375" customWidth="1"/>
    <col min="35" max="36" width="11.7109375" style="28" bestFit="1" customWidth="1"/>
    <col min="37" max="38" width="12.28515625" style="28" bestFit="1" customWidth="1"/>
    <col min="39" max="41" width="12.140625" style="28" customWidth="1"/>
    <col min="42" max="42" width="11.5703125" style="135" bestFit="1" customWidth="1"/>
    <col min="43" max="43" width="22.5703125" style="28" bestFit="1" customWidth="1"/>
    <col min="44" max="44" width="10.85546875" style="28" bestFit="1" customWidth="1"/>
    <col min="45" max="16384" width="9.140625" style="28"/>
  </cols>
  <sheetData>
    <row r="1" spans="1:42" ht="18" customHeight="1" outlineLevel="1" x14ac:dyDescent="0.25">
      <c r="A1" s="3" t="s">
        <v>190</v>
      </c>
      <c r="D1" s="248">
        <v>2021</v>
      </c>
      <c r="E1" s="248"/>
      <c r="F1" s="248"/>
      <c r="G1" s="248"/>
      <c r="H1" s="248"/>
      <c r="I1" s="249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</row>
    <row r="2" spans="1:42" ht="9.75" customHeight="1" outlineLevel="1" x14ac:dyDescent="0.25">
      <c r="D2" s="248"/>
      <c r="E2" s="248"/>
      <c r="F2" s="248"/>
      <c r="G2" s="248"/>
      <c r="H2" s="248"/>
      <c r="I2" s="249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</row>
    <row r="3" spans="1:42" ht="15.75" customHeight="1" outlineLevel="1" x14ac:dyDescent="0.25">
      <c r="A3" s="1" t="s">
        <v>196</v>
      </c>
      <c r="D3" s="248"/>
      <c r="E3" s="248"/>
      <c r="F3" s="248"/>
      <c r="G3" s="248"/>
      <c r="H3" s="248"/>
      <c r="I3" s="249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</row>
    <row r="4" spans="1:42" ht="15" customHeight="1" outlineLevel="1" x14ac:dyDescent="0.25">
      <c r="A4" s="88" t="s">
        <v>32</v>
      </c>
      <c r="D4" s="248"/>
      <c r="E4" s="248"/>
      <c r="F4" s="248"/>
      <c r="G4" s="248"/>
      <c r="H4" s="248"/>
      <c r="I4" s="249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</row>
    <row r="5" spans="1:42" ht="15" customHeight="1" outlineLevel="1" x14ac:dyDescent="0.25">
      <c r="A5" s="144" t="s">
        <v>33</v>
      </c>
      <c r="D5" s="248"/>
      <c r="E5" s="248"/>
      <c r="F5" s="248"/>
      <c r="G5" s="248"/>
      <c r="H5" s="248"/>
      <c r="I5" s="249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</row>
    <row r="6" spans="1:42" ht="15" customHeight="1" outlineLevel="1" x14ac:dyDescent="0.25">
      <c r="A6" s="6" t="s">
        <v>34</v>
      </c>
      <c r="D6" s="248"/>
      <c r="E6" s="248"/>
      <c r="F6" s="248"/>
      <c r="G6" s="248"/>
      <c r="H6" s="248"/>
      <c r="I6" s="249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</row>
    <row r="7" spans="1:42" ht="15" customHeight="1" outlineLevel="1" x14ac:dyDescent="0.25">
      <c r="A7" s="5" t="s">
        <v>35</v>
      </c>
      <c r="D7" s="248"/>
      <c r="E7" s="248"/>
      <c r="F7" s="248"/>
      <c r="G7" s="248"/>
      <c r="H7" s="248"/>
      <c r="I7" s="249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</row>
    <row r="8" spans="1:42" s="29" customFormat="1" ht="15" customHeight="1" x14ac:dyDescent="0.25">
      <c r="A8" s="5"/>
      <c r="B8" s="4"/>
      <c r="D8" s="248"/>
      <c r="E8" s="248"/>
      <c r="F8" s="248"/>
      <c r="G8" s="248"/>
      <c r="H8" s="272" t="s">
        <v>191</v>
      </c>
      <c r="I8" s="272"/>
      <c r="J8" s="272"/>
      <c r="K8" s="272"/>
      <c r="L8" s="272"/>
      <c r="M8" s="272"/>
      <c r="N8" s="272"/>
      <c r="O8" s="267"/>
      <c r="P8" s="273" t="s">
        <v>197</v>
      </c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135"/>
    </row>
    <row r="9" spans="1:42" s="30" customFormat="1" x14ac:dyDescent="0.25">
      <c r="A9" s="7" t="s">
        <v>36</v>
      </c>
      <c r="B9" s="9" t="s">
        <v>37</v>
      </c>
      <c r="D9" s="127">
        <v>44204</v>
      </c>
      <c r="E9" s="127">
        <v>44211</v>
      </c>
      <c r="F9" s="127">
        <v>44218</v>
      </c>
      <c r="G9" s="127">
        <v>44225</v>
      </c>
      <c r="H9" s="124" t="s">
        <v>0</v>
      </c>
      <c r="I9" s="125"/>
      <c r="J9" s="127">
        <v>44232</v>
      </c>
      <c r="K9" s="127">
        <v>44239</v>
      </c>
      <c r="L9" s="127">
        <v>44246</v>
      </c>
      <c r="M9" s="127">
        <v>44253</v>
      </c>
      <c r="N9" s="124" t="s">
        <v>1</v>
      </c>
      <c r="O9" s="125"/>
      <c r="P9" s="127">
        <v>44259</v>
      </c>
      <c r="Q9" s="127">
        <v>44266</v>
      </c>
      <c r="R9" s="127">
        <v>44273</v>
      </c>
      <c r="S9" s="127">
        <v>44280</v>
      </c>
      <c r="T9" s="124" t="s">
        <v>2</v>
      </c>
      <c r="U9" s="125"/>
      <c r="V9" s="232">
        <v>44287</v>
      </c>
      <c r="W9" s="232">
        <v>44294</v>
      </c>
      <c r="X9" s="232">
        <v>44301</v>
      </c>
      <c r="Y9" s="232">
        <v>44308</v>
      </c>
      <c r="Z9" s="232">
        <v>44315</v>
      </c>
      <c r="AA9" s="124" t="s">
        <v>3</v>
      </c>
      <c r="AB9" s="125"/>
      <c r="AC9" s="232">
        <v>44322</v>
      </c>
      <c r="AD9" s="232">
        <v>44329</v>
      </c>
      <c r="AE9" s="232">
        <v>44336</v>
      </c>
      <c r="AF9" s="232">
        <v>44343</v>
      </c>
      <c r="AG9" s="124" t="s">
        <v>4</v>
      </c>
      <c r="AH9" s="125"/>
      <c r="AI9" s="124" t="s">
        <v>5</v>
      </c>
      <c r="AJ9" s="124" t="s">
        <v>6</v>
      </c>
      <c r="AK9" s="124" t="s">
        <v>7</v>
      </c>
      <c r="AL9" s="124" t="s">
        <v>8</v>
      </c>
      <c r="AM9" s="124" t="s">
        <v>9</v>
      </c>
      <c r="AN9" s="124" t="s">
        <v>10</v>
      </c>
      <c r="AO9" s="124" t="s">
        <v>11</v>
      </c>
      <c r="AP9" s="136"/>
    </row>
    <row r="10" spans="1:42" s="30" customFormat="1" x14ac:dyDescent="0.25">
      <c r="A10" s="269"/>
      <c r="B10" s="270"/>
      <c r="I10"/>
      <c r="O10"/>
      <c r="U10"/>
      <c r="V10" s="8"/>
      <c r="W10" s="8"/>
      <c r="X10" s="8"/>
      <c r="Y10" s="8"/>
      <c r="Z10" s="8"/>
      <c r="AB10"/>
      <c r="AC10" s="8"/>
      <c r="AD10" s="8"/>
      <c r="AE10" s="8"/>
      <c r="AF10" s="8"/>
      <c r="AH10"/>
      <c r="AP10" s="136"/>
    </row>
    <row r="11" spans="1:42" s="30" customFormat="1" x14ac:dyDescent="0.25">
      <c r="B11" s="12" t="s">
        <v>38</v>
      </c>
      <c r="D11" s="149">
        <v>787825</v>
      </c>
      <c r="E11" s="123">
        <f>D164</f>
        <v>762554.62</v>
      </c>
      <c r="F11" s="123">
        <f t="shared" ref="F11:G11" si="0">E164</f>
        <v>600574.24</v>
      </c>
      <c r="G11" s="123">
        <f t="shared" si="0"/>
        <v>645273.94999999995</v>
      </c>
      <c r="H11" s="123">
        <f>D11</f>
        <v>787825</v>
      </c>
      <c r="I11"/>
      <c r="J11" s="34">
        <f>H164</f>
        <v>665928.43999999994</v>
      </c>
      <c r="K11" s="34">
        <f>J164</f>
        <v>704404.1399999999</v>
      </c>
      <c r="L11" s="34">
        <f t="shared" ref="L11:M11" si="1">K164</f>
        <v>505426.61999999988</v>
      </c>
      <c r="M11" s="34">
        <f t="shared" si="1"/>
        <v>392823.71999999986</v>
      </c>
      <c r="N11" s="34">
        <f>H164</f>
        <v>665928.43999999994</v>
      </c>
      <c r="O11"/>
      <c r="P11" s="34">
        <f>N164</f>
        <v>441475.27</v>
      </c>
      <c r="Q11" s="34">
        <f>P164</f>
        <v>380134.35000000003</v>
      </c>
      <c r="R11" s="34">
        <f t="shared" ref="R11:S11" si="2">Q164</f>
        <v>435269.14000000007</v>
      </c>
      <c r="S11" s="34">
        <f t="shared" si="2"/>
        <v>407157.4800000001</v>
      </c>
      <c r="T11" s="34">
        <f>N164</f>
        <v>441475.27</v>
      </c>
      <c r="U11"/>
      <c r="V11" s="34">
        <f>T164</f>
        <v>441475.27</v>
      </c>
      <c r="W11" s="34">
        <f>V164</f>
        <v>507834.85000000003</v>
      </c>
      <c r="X11" s="34">
        <f>W164</f>
        <v>502734.85000000003</v>
      </c>
      <c r="Y11" s="34">
        <f>X164</f>
        <v>255684.92935666669</v>
      </c>
      <c r="Z11" s="34">
        <f>Y164</f>
        <v>339160.75268999999</v>
      </c>
      <c r="AA11" s="34">
        <f>T164</f>
        <v>441475.27</v>
      </c>
      <c r="AB11"/>
      <c r="AC11" s="34">
        <f>AA164</f>
        <v>222822.73935666669</v>
      </c>
      <c r="AD11" s="34">
        <f>AC164</f>
        <v>222822.73935666669</v>
      </c>
      <c r="AE11" s="34">
        <f t="shared" ref="AE11:AG11" si="3">AD164</f>
        <v>496956.87538000004</v>
      </c>
      <c r="AF11" s="34">
        <f t="shared" si="3"/>
        <v>496956.87538000004</v>
      </c>
      <c r="AG11" s="34">
        <f t="shared" si="3"/>
        <v>594606.8753800001</v>
      </c>
      <c r="AH11"/>
      <c r="AI11" s="34">
        <f>AG164</f>
        <v>264384.23807000008</v>
      </c>
      <c r="AJ11" s="34">
        <f t="shared" ref="AJ11:AL11" si="4">AI164</f>
        <v>210566.81409333338</v>
      </c>
      <c r="AK11" s="34">
        <f t="shared" si="4"/>
        <v>468111.03011666657</v>
      </c>
      <c r="AL11" s="34">
        <f t="shared" si="4"/>
        <v>712167.0794733332</v>
      </c>
      <c r="AM11" s="34">
        <f t="shared" ref="AM11" si="5">AL164</f>
        <v>825385.79549666645</v>
      </c>
      <c r="AN11" s="34">
        <f t="shared" ref="AN11" si="6">AM164</f>
        <v>525090.49151999969</v>
      </c>
      <c r="AO11" s="34">
        <f t="shared" ref="AO11" si="7">AN164</f>
        <v>395060.35420999967</v>
      </c>
      <c r="AP11" s="136"/>
    </row>
    <row r="12" spans="1:42" s="30" customFormat="1" x14ac:dyDescent="0.25">
      <c r="A12" s="8"/>
      <c r="B12" s="11"/>
      <c r="D12" s="147" t="s">
        <v>39</v>
      </c>
      <c r="E12" s="104"/>
      <c r="F12" s="104"/>
      <c r="G12" s="104"/>
      <c r="I12"/>
      <c r="O12"/>
      <c r="U12"/>
      <c r="V12" s="8"/>
      <c r="W12" s="8"/>
      <c r="X12" s="8"/>
      <c r="Y12" s="8"/>
      <c r="Z12" s="8"/>
      <c r="AB12"/>
      <c r="AC12" s="8"/>
      <c r="AD12" s="8"/>
      <c r="AE12" s="8"/>
      <c r="AF12" s="8"/>
      <c r="AH12"/>
      <c r="AP12" s="136"/>
    </row>
    <row r="13" spans="1:42" s="30" customFormat="1" x14ac:dyDescent="0.25">
      <c r="A13" s="148"/>
      <c r="B13" s="148" t="s">
        <v>40</v>
      </c>
      <c r="D13" s="35"/>
      <c r="E13" s="35"/>
      <c r="F13" s="35"/>
      <c r="G13" s="35"/>
      <c r="H13" s="35"/>
      <c r="I13"/>
      <c r="O13"/>
      <c r="U13"/>
      <c r="V13" s="8"/>
      <c r="W13" s="8"/>
      <c r="X13" s="8"/>
      <c r="Y13" s="8"/>
      <c r="Z13" s="8"/>
      <c r="AB13"/>
      <c r="AC13" s="8"/>
      <c r="AD13" s="8"/>
      <c r="AE13" s="8"/>
      <c r="AF13" s="8"/>
      <c r="AH13"/>
      <c r="AP13" s="136"/>
    </row>
    <row r="14" spans="1:42" s="30" customFormat="1" hidden="1" x14ac:dyDescent="0.25">
      <c r="B14" s="13"/>
      <c r="D14" s="35"/>
      <c r="E14" s="35"/>
      <c r="F14" s="35"/>
      <c r="G14" s="35"/>
      <c r="H14" s="35"/>
      <c r="I14"/>
      <c r="O14"/>
      <c r="U14"/>
      <c r="V14" s="8"/>
      <c r="W14" s="8"/>
      <c r="X14" s="8"/>
      <c r="Y14" s="8"/>
      <c r="Z14" s="8"/>
      <c r="AB14"/>
      <c r="AC14" s="8"/>
      <c r="AD14" s="8"/>
      <c r="AE14" s="8"/>
      <c r="AF14" s="8"/>
      <c r="AH14"/>
      <c r="AP14" s="136"/>
    </row>
    <row r="15" spans="1:42" s="27" customFormat="1" ht="7.5" customHeight="1" x14ac:dyDescent="0.25">
      <c r="A15" s="8"/>
      <c r="B15" s="15"/>
      <c r="D15" s="36"/>
      <c r="E15" s="36"/>
      <c r="F15" s="36"/>
      <c r="G15" s="36"/>
      <c r="H15" s="36"/>
      <c r="I15"/>
      <c r="O15"/>
      <c r="U15"/>
      <c r="V15" s="5"/>
      <c r="W15" s="5"/>
      <c r="X15" s="5"/>
      <c r="Y15" s="5"/>
      <c r="Z15" s="5"/>
      <c r="AB15"/>
      <c r="AC15" s="5"/>
      <c r="AD15" s="5"/>
      <c r="AE15" s="5"/>
      <c r="AF15" s="5"/>
      <c r="AH15"/>
      <c r="AP15" s="135"/>
    </row>
    <row r="16" spans="1:42" s="27" customFormat="1" x14ac:dyDescent="0.25">
      <c r="A16" s="14"/>
      <c r="B16" s="33" t="s">
        <v>198</v>
      </c>
      <c r="C16" s="128" t="s">
        <v>41</v>
      </c>
      <c r="E16" s="37"/>
      <c r="F16" s="37"/>
      <c r="G16" s="37"/>
      <c r="I16"/>
      <c r="O16"/>
      <c r="U16"/>
      <c r="V16" s="5"/>
      <c r="W16" s="5"/>
      <c r="X16" s="5"/>
      <c r="Y16" s="5"/>
      <c r="Z16" s="5"/>
      <c r="AB16"/>
      <c r="AC16" s="5"/>
      <c r="AD16" s="5"/>
      <c r="AE16" s="5"/>
      <c r="AF16" s="5"/>
      <c r="AH16"/>
      <c r="AP16" s="135"/>
    </row>
    <row r="17" spans="1:93" s="27" customFormat="1" ht="16.5" customHeight="1" x14ac:dyDescent="0.25">
      <c r="A17" s="17"/>
      <c r="B17" s="259">
        <v>1</v>
      </c>
      <c r="D17" s="84"/>
      <c r="E17" s="84"/>
      <c r="F17" s="84"/>
      <c r="G17" s="85"/>
      <c r="H17" s="85"/>
      <c r="I17"/>
      <c r="J17" s="85"/>
      <c r="K17" s="84"/>
      <c r="L17" s="84"/>
      <c r="M17" s="84"/>
      <c r="N17" s="84"/>
      <c r="O17"/>
      <c r="P17" s="189"/>
      <c r="Q17" s="189"/>
      <c r="R17" s="189"/>
      <c r="S17" s="189"/>
      <c r="T17" s="189"/>
      <c r="U17"/>
      <c r="V17" s="85"/>
      <c r="W17" s="85"/>
      <c r="X17" s="85"/>
      <c r="Y17" s="85"/>
      <c r="Z17" s="85"/>
      <c r="AA17" s="84">
        <v>0</v>
      </c>
      <c r="AB17"/>
      <c r="AC17" s="85"/>
      <c r="AD17" s="85"/>
      <c r="AE17" s="85"/>
      <c r="AF17" s="85"/>
      <c r="AG17" s="84">
        <v>0</v>
      </c>
      <c r="AH17"/>
      <c r="AI17" s="84">
        <v>0</v>
      </c>
      <c r="AJ17" s="84">
        <v>0</v>
      </c>
      <c r="AK17" s="84">
        <v>0</v>
      </c>
      <c r="AL17" s="84">
        <v>0</v>
      </c>
      <c r="AM17" s="84">
        <v>40000</v>
      </c>
      <c r="AN17" s="84">
        <v>0</v>
      </c>
      <c r="AO17" s="84">
        <v>0</v>
      </c>
      <c r="AP17" s="137"/>
    </row>
    <row r="18" spans="1:93" s="27" customFormat="1" ht="16.5" customHeight="1" x14ac:dyDescent="0.25">
      <c r="A18" s="14"/>
      <c r="B18" s="259">
        <f>B17+1</f>
        <v>2</v>
      </c>
      <c r="D18" s="84"/>
      <c r="E18" s="84"/>
      <c r="F18" s="84"/>
      <c r="G18" s="85"/>
      <c r="H18" s="85"/>
      <c r="I18"/>
      <c r="J18" s="157"/>
      <c r="K18" s="161"/>
      <c r="L18" s="161"/>
      <c r="M18" s="161"/>
      <c r="N18" s="161"/>
      <c r="O18"/>
      <c r="P18" s="190"/>
      <c r="Q18" s="190"/>
      <c r="R18" s="190"/>
      <c r="S18" s="190"/>
      <c r="T18" s="190"/>
      <c r="U18"/>
      <c r="V18" s="85"/>
      <c r="W18" s="85"/>
      <c r="X18" s="85"/>
      <c r="Y18" s="85"/>
      <c r="Z18" s="85"/>
      <c r="AA18" s="84">
        <v>0</v>
      </c>
      <c r="AB18"/>
      <c r="AC18" s="85"/>
      <c r="AD18" s="85"/>
      <c r="AE18" s="85"/>
      <c r="AF18" s="85"/>
      <c r="AG18" s="84">
        <v>0</v>
      </c>
      <c r="AH18"/>
      <c r="AI18" s="84">
        <v>0</v>
      </c>
      <c r="AJ18" s="84">
        <v>0</v>
      </c>
      <c r="AK18" s="84">
        <v>0</v>
      </c>
      <c r="AL18" s="84">
        <v>92000</v>
      </c>
      <c r="AM18" s="84">
        <v>0</v>
      </c>
      <c r="AN18" s="84">
        <v>0</v>
      </c>
      <c r="AO18" s="84">
        <v>0</v>
      </c>
      <c r="AP18" s="137"/>
    </row>
    <row r="19" spans="1:93" s="27" customFormat="1" ht="16.5" customHeight="1" x14ac:dyDescent="0.25">
      <c r="A19" s="17"/>
      <c r="B19" s="259">
        <f t="shared" ref="B19:B55" si="8">B18+1</f>
        <v>3</v>
      </c>
      <c r="D19" s="84"/>
      <c r="E19" s="84"/>
      <c r="F19" s="84"/>
      <c r="G19" s="85"/>
      <c r="H19" s="85"/>
      <c r="I19"/>
      <c r="J19" s="89"/>
      <c r="K19" s="160"/>
      <c r="L19" s="160"/>
      <c r="M19" s="160"/>
      <c r="N19" s="160"/>
      <c r="O19"/>
      <c r="P19" s="190"/>
      <c r="Q19" s="190"/>
      <c r="R19" s="190"/>
      <c r="S19" s="190"/>
      <c r="T19" s="190"/>
      <c r="U19"/>
      <c r="V19" s="85"/>
      <c r="W19" s="85"/>
      <c r="X19" s="85"/>
      <c r="Y19" s="85"/>
      <c r="Z19" s="85"/>
      <c r="AA19" s="84">
        <v>0</v>
      </c>
      <c r="AB19"/>
      <c r="AC19" s="85"/>
      <c r="AD19" s="85"/>
      <c r="AE19" s="85"/>
      <c r="AF19" s="85"/>
      <c r="AG19" s="84">
        <v>0</v>
      </c>
      <c r="AH19"/>
      <c r="AI19" s="84">
        <v>0</v>
      </c>
      <c r="AJ19" s="84">
        <v>0</v>
      </c>
      <c r="AK19" s="84">
        <v>50000</v>
      </c>
      <c r="AL19" s="84">
        <v>0</v>
      </c>
      <c r="AM19" s="84">
        <v>0</v>
      </c>
      <c r="AN19" s="84">
        <v>0</v>
      </c>
      <c r="AO19" s="84">
        <v>0</v>
      </c>
      <c r="AP19" s="137"/>
    </row>
    <row r="20" spans="1:93" s="27" customFormat="1" ht="16.5" customHeight="1" x14ac:dyDescent="0.25">
      <c r="A20" s="14"/>
      <c r="B20" s="259">
        <f t="shared" si="8"/>
        <v>4</v>
      </c>
      <c r="D20" s="84"/>
      <c r="E20" s="84"/>
      <c r="F20" s="84"/>
      <c r="G20" s="85"/>
      <c r="H20" s="85"/>
      <c r="I20"/>
      <c r="J20" s="89"/>
      <c r="K20" s="160"/>
      <c r="L20" s="160"/>
      <c r="M20" s="160"/>
      <c r="N20" s="160"/>
      <c r="O20"/>
      <c r="P20" s="190"/>
      <c r="Q20" s="190"/>
      <c r="R20" s="190"/>
      <c r="S20" s="190"/>
      <c r="T20" s="190"/>
      <c r="U20"/>
      <c r="V20" s="85"/>
      <c r="W20" s="85"/>
      <c r="X20" s="85"/>
      <c r="Y20" s="85"/>
      <c r="Z20" s="85"/>
      <c r="AA20" s="84">
        <v>0</v>
      </c>
      <c r="AB20"/>
      <c r="AC20" s="85"/>
      <c r="AD20" s="85"/>
      <c r="AE20" s="85"/>
      <c r="AF20" s="85"/>
      <c r="AG20" s="84">
        <v>0</v>
      </c>
      <c r="AH20"/>
      <c r="AI20" s="84">
        <v>0</v>
      </c>
      <c r="AJ20" s="84">
        <v>0</v>
      </c>
      <c r="AK20" s="84">
        <v>0</v>
      </c>
      <c r="AL20" s="84">
        <v>0</v>
      </c>
      <c r="AM20" s="84">
        <v>0</v>
      </c>
      <c r="AN20" s="84">
        <v>0</v>
      </c>
      <c r="AO20" s="84">
        <v>0</v>
      </c>
      <c r="AP20" s="137"/>
    </row>
    <row r="21" spans="1:93" s="27" customFormat="1" ht="16.5" customHeight="1" x14ac:dyDescent="0.25">
      <c r="A21" s="14"/>
      <c r="B21" s="259">
        <f t="shared" si="8"/>
        <v>5</v>
      </c>
      <c r="D21" s="84"/>
      <c r="E21" s="84"/>
      <c r="F21" s="84"/>
      <c r="G21" s="85"/>
      <c r="H21" s="85"/>
      <c r="I21"/>
      <c r="J21" s="177">
        <v>99999</v>
      </c>
      <c r="K21" s="160"/>
      <c r="L21" s="91"/>
      <c r="M21" s="91"/>
      <c r="N21" s="163">
        <f>SUM(J21:M21)</f>
        <v>99999</v>
      </c>
      <c r="O21"/>
      <c r="P21" s="190"/>
      <c r="Q21" s="190"/>
      <c r="R21" s="190"/>
      <c r="S21" s="190"/>
      <c r="T21" s="190"/>
      <c r="U21"/>
      <c r="V21" s="85"/>
      <c r="W21" s="85"/>
      <c r="X21" s="85"/>
      <c r="Y21" s="85"/>
      <c r="Z21" s="85"/>
      <c r="AA21" s="84"/>
      <c r="AB21"/>
      <c r="AC21" s="85"/>
      <c r="AD21" s="85"/>
      <c r="AE21" s="85"/>
      <c r="AF21" s="85"/>
      <c r="AG21" s="84">
        <v>0</v>
      </c>
      <c r="AH21"/>
      <c r="AI21" s="84"/>
      <c r="AJ21" s="84"/>
      <c r="AK21" s="84"/>
      <c r="AL21" s="84"/>
      <c r="AM21" s="84"/>
      <c r="AN21" s="84"/>
      <c r="AO21" s="84">
        <v>0</v>
      </c>
      <c r="AP21" s="137"/>
    </row>
    <row r="22" spans="1:93" s="27" customFormat="1" ht="16.5" customHeight="1" x14ac:dyDescent="0.25">
      <c r="A22" s="17"/>
      <c r="B22" s="259">
        <f t="shared" si="8"/>
        <v>6</v>
      </c>
      <c r="D22" s="84"/>
      <c r="E22" s="84"/>
      <c r="F22" s="84"/>
      <c r="G22" s="85"/>
      <c r="H22" s="85"/>
      <c r="I22"/>
      <c r="J22" s="89"/>
      <c r="K22" s="160"/>
      <c r="L22" s="160"/>
      <c r="M22" s="160"/>
      <c r="N22" s="160"/>
      <c r="O22"/>
      <c r="P22" s="190"/>
      <c r="Q22" s="190"/>
      <c r="R22" s="190"/>
      <c r="S22" s="190"/>
      <c r="T22" s="190"/>
      <c r="U22"/>
      <c r="V22" s="85"/>
      <c r="W22" s="85"/>
      <c r="X22" s="85"/>
      <c r="Y22" s="85"/>
      <c r="Z22" s="85"/>
      <c r="AA22" s="84">
        <v>0</v>
      </c>
      <c r="AB22"/>
      <c r="AC22" s="85"/>
      <c r="AD22" s="85"/>
      <c r="AE22" s="85"/>
      <c r="AF22" s="85"/>
      <c r="AG22" s="84">
        <v>0</v>
      </c>
      <c r="AH22"/>
      <c r="AI22" s="84">
        <v>0</v>
      </c>
      <c r="AJ22" s="84">
        <v>105000</v>
      </c>
      <c r="AK22" s="84">
        <v>0</v>
      </c>
      <c r="AL22" s="84">
        <v>0</v>
      </c>
      <c r="AM22" s="84">
        <v>0</v>
      </c>
      <c r="AN22" s="84">
        <v>0</v>
      </c>
      <c r="AO22" s="84">
        <v>0</v>
      </c>
      <c r="AP22" s="239"/>
    </row>
    <row r="23" spans="1:93" s="27" customFormat="1" ht="16.5" customHeight="1" x14ac:dyDescent="0.25">
      <c r="A23" s="17"/>
      <c r="B23" s="259">
        <f t="shared" si="8"/>
        <v>7</v>
      </c>
      <c r="C23" s="5"/>
      <c r="D23" s="84"/>
      <c r="E23" s="84"/>
      <c r="F23" s="84"/>
      <c r="G23" s="85"/>
      <c r="H23" s="85"/>
      <c r="I23"/>
      <c r="J23" s="89"/>
      <c r="K23" s="160"/>
      <c r="L23" s="160"/>
      <c r="M23" s="160"/>
      <c r="N23" s="160"/>
      <c r="O23"/>
      <c r="P23" s="190"/>
      <c r="Q23" s="190"/>
      <c r="R23" s="190"/>
      <c r="S23" s="190"/>
      <c r="T23" s="190"/>
      <c r="U23"/>
      <c r="V23" s="85"/>
      <c r="W23" s="85"/>
      <c r="X23" s="85"/>
      <c r="Y23" s="85"/>
      <c r="Z23" s="85"/>
      <c r="AA23" s="84">
        <v>0</v>
      </c>
      <c r="AB23"/>
      <c r="AC23" s="85"/>
      <c r="AD23" s="85"/>
      <c r="AE23" s="85"/>
      <c r="AF23" s="85"/>
      <c r="AG23" s="84">
        <v>0</v>
      </c>
      <c r="AH23"/>
      <c r="AI23" s="84">
        <v>0</v>
      </c>
      <c r="AJ23" s="84">
        <v>0</v>
      </c>
      <c r="AK23" s="84">
        <v>90000</v>
      </c>
      <c r="AL23" s="84">
        <v>0</v>
      </c>
      <c r="AM23" s="84">
        <v>0</v>
      </c>
      <c r="AN23" s="84">
        <v>0</v>
      </c>
      <c r="AO23" s="84">
        <v>0</v>
      </c>
      <c r="AP23" s="239"/>
      <c r="AR23" s="5"/>
      <c r="AS23" s="5"/>
      <c r="AT23" s="5"/>
      <c r="AU23" s="5"/>
    </row>
    <row r="24" spans="1:93" s="27" customFormat="1" ht="16.5" customHeight="1" x14ac:dyDescent="0.25">
      <c r="A24" s="17"/>
      <c r="B24" s="259">
        <f t="shared" si="8"/>
        <v>8</v>
      </c>
      <c r="D24" s="84"/>
      <c r="E24" s="84"/>
      <c r="F24" s="84"/>
      <c r="G24" s="85"/>
      <c r="H24" s="89"/>
      <c r="I24"/>
      <c r="J24" s="158"/>
      <c r="K24" s="162"/>
      <c r="L24" s="162"/>
      <c r="M24" s="162"/>
      <c r="N24" s="162"/>
      <c r="O24"/>
      <c r="P24" s="190"/>
      <c r="Q24" s="190"/>
      <c r="R24" s="190"/>
      <c r="S24" s="190"/>
      <c r="T24" s="190"/>
      <c r="U24"/>
      <c r="V24" s="85"/>
      <c r="W24" s="85"/>
      <c r="X24" s="85"/>
      <c r="Y24" s="85"/>
      <c r="Z24" s="85"/>
      <c r="AA24" s="84">
        <v>0</v>
      </c>
      <c r="AB24"/>
      <c r="AC24" s="85"/>
      <c r="AD24" s="85"/>
      <c r="AE24" s="85"/>
      <c r="AF24" s="85"/>
      <c r="AG24" s="84">
        <v>0</v>
      </c>
      <c r="AH24"/>
      <c r="AI24" s="84">
        <v>0</v>
      </c>
      <c r="AJ24" s="84">
        <v>75000</v>
      </c>
      <c r="AK24" s="84">
        <v>0</v>
      </c>
      <c r="AL24" s="84">
        <v>0</v>
      </c>
      <c r="AM24" s="84">
        <v>0</v>
      </c>
      <c r="AN24" s="84">
        <v>0</v>
      </c>
      <c r="AO24" s="84">
        <v>0</v>
      </c>
      <c r="AP24" s="239"/>
    </row>
    <row r="25" spans="1:93" s="27" customFormat="1" ht="16.5" customHeight="1" x14ac:dyDescent="0.25">
      <c r="A25" s="17"/>
      <c r="B25" s="259">
        <f t="shared" si="8"/>
        <v>9</v>
      </c>
      <c r="C25" s="5"/>
      <c r="D25" s="84"/>
      <c r="E25" s="84"/>
      <c r="F25" s="161"/>
      <c r="G25" s="157"/>
      <c r="H25" s="89"/>
      <c r="I25"/>
      <c r="J25" s="85"/>
      <c r="K25" s="84"/>
      <c r="L25" s="84"/>
      <c r="M25" s="84"/>
      <c r="N25" s="84"/>
      <c r="O25"/>
      <c r="P25" s="190"/>
      <c r="Q25" s="190"/>
      <c r="R25" s="190"/>
      <c r="S25" s="190"/>
      <c r="T25" s="190"/>
      <c r="U25"/>
      <c r="V25" s="85"/>
      <c r="W25" s="85"/>
      <c r="X25" s="85"/>
      <c r="Y25" s="85"/>
      <c r="Z25" s="85"/>
      <c r="AA25" s="84">
        <v>0</v>
      </c>
      <c r="AB25"/>
      <c r="AC25" s="85"/>
      <c r="AD25" s="85"/>
      <c r="AE25" s="85"/>
      <c r="AF25" s="85"/>
      <c r="AG25" s="84">
        <v>0</v>
      </c>
      <c r="AH25"/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4">
        <v>0</v>
      </c>
      <c r="AP25" s="239"/>
      <c r="AR25" s="5"/>
      <c r="AS25" s="5"/>
      <c r="AT25" s="5"/>
      <c r="AU25" s="5"/>
    </row>
    <row r="26" spans="1:93" s="27" customFormat="1" ht="16.5" customHeight="1" x14ac:dyDescent="0.25">
      <c r="A26" s="14"/>
      <c r="B26" s="259">
        <f t="shared" si="8"/>
        <v>10</v>
      </c>
      <c r="D26" s="84"/>
      <c r="E26" s="166"/>
      <c r="F26" s="160"/>
      <c r="G26" s="89"/>
      <c r="H26" s="89"/>
      <c r="I26"/>
      <c r="J26" s="85"/>
      <c r="K26" s="84"/>
      <c r="L26" s="84"/>
      <c r="M26" s="84"/>
      <c r="N26" s="84"/>
      <c r="O26"/>
      <c r="P26" s="190"/>
      <c r="Q26" s="190"/>
      <c r="R26" s="190"/>
      <c r="S26" s="190"/>
      <c r="T26" s="190"/>
      <c r="U26"/>
      <c r="V26" s="85"/>
      <c r="W26" s="85"/>
      <c r="X26" s="85"/>
      <c r="Y26" s="85"/>
      <c r="Z26" s="85"/>
      <c r="AA26" s="84">
        <v>0</v>
      </c>
      <c r="AB26"/>
      <c r="AC26" s="85"/>
      <c r="AD26" s="85"/>
      <c r="AE26" s="85"/>
      <c r="AF26" s="85"/>
      <c r="AG26" s="84">
        <v>0</v>
      </c>
      <c r="AH26"/>
      <c r="AI26" s="84">
        <v>0</v>
      </c>
      <c r="AJ26" s="84">
        <v>80000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239"/>
    </row>
    <row r="27" spans="1:93" s="27" customFormat="1" ht="16.5" customHeight="1" x14ac:dyDescent="0.25">
      <c r="A27" s="14"/>
      <c r="B27" s="259">
        <f t="shared" si="8"/>
        <v>11</v>
      </c>
      <c r="D27" s="84"/>
      <c r="E27" s="166"/>
      <c r="F27" s="163">
        <v>70000</v>
      </c>
      <c r="G27" s="89"/>
      <c r="H27" s="163">
        <f>SUM(D27:G27)</f>
        <v>70000</v>
      </c>
      <c r="I27"/>
      <c r="J27" s="85"/>
      <c r="K27" s="84"/>
      <c r="M27" s="84"/>
      <c r="N27" s="126"/>
      <c r="O27"/>
      <c r="P27" s="190"/>
      <c r="Q27" s="190"/>
      <c r="R27" s="190"/>
      <c r="S27" s="190"/>
      <c r="T27" s="192"/>
      <c r="U27"/>
      <c r="V27" s="85"/>
      <c r="W27" s="85"/>
      <c r="X27" s="85"/>
      <c r="Y27" s="85"/>
      <c r="Z27" s="85"/>
      <c r="AA27" s="84"/>
      <c r="AB27"/>
      <c r="AC27" s="85"/>
      <c r="AD27" s="85"/>
      <c r="AE27" s="85"/>
      <c r="AF27" s="85"/>
      <c r="AG27" s="84">
        <v>0</v>
      </c>
      <c r="AH27"/>
      <c r="AI27" s="84"/>
      <c r="AJ27" s="84"/>
      <c r="AK27" s="84"/>
      <c r="AL27" s="84"/>
      <c r="AM27" s="84"/>
      <c r="AN27" s="84"/>
      <c r="AO27" s="84">
        <v>0</v>
      </c>
      <c r="AP27" s="239"/>
    </row>
    <row r="28" spans="1:93" s="27" customFormat="1" ht="16.5" customHeight="1" x14ac:dyDescent="0.25">
      <c r="A28" s="14"/>
      <c r="B28" s="259">
        <f t="shared" si="8"/>
        <v>12</v>
      </c>
      <c r="D28" s="84"/>
      <c r="E28" s="166"/>
      <c r="F28" s="160"/>
      <c r="G28" s="89"/>
      <c r="H28" s="89"/>
      <c r="I28"/>
      <c r="J28" s="85"/>
      <c r="K28" s="84"/>
      <c r="L28" s="84"/>
      <c r="M28" s="84"/>
      <c r="N28" s="84"/>
      <c r="O28"/>
      <c r="P28" s="190"/>
      <c r="Q28" s="190"/>
      <c r="R28" s="190"/>
      <c r="S28" s="190"/>
      <c r="T28" s="84"/>
      <c r="U28"/>
      <c r="V28" s="85"/>
      <c r="W28" s="85"/>
      <c r="X28" s="85"/>
      <c r="Y28" s="85"/>
      <c r="Z28" s="85"/>
      <c r="AA28" s="84">
        <v>0</v>
      </c>
      <c r="AB28"/>
      <c r="AC28" s="85"/>
      <c r="AD28" s="85"/>
      <c r="AE28" s="85"/>
      <c r="AF28" s="85"/>
      <c r="AG28" s="84">
        <v>0</v>
      </c>
      <c r="AH28"/>
      <c r="AI28" s="84">
        <v>0</v>
      </c>
      <c r="AJ28" s="84">
        <v>0</v>
      </c>
      <c r="AK28" s="84">
        <v>50000</v>
      </c>
      <c r="AL28" s="84">
        <v>0</v>
      </c>
      <c r="AM28" s="84">
        <v>0</v>
      </c>
      <c r="AN28" s="84">
        <v>0</v>
      </c>
      <c r="AO28" s="84">
        <v>0</v>
      </c>
      <c r="AP28" s="239"/>
    </row>
    <row r="29" spans="1:93" s="27" customFormat="1" ht="16.5" customHeight="1" x14ac:dyDescent="0.25">
      <c r="A29" s="14"/>
      <c r="B29" s="259">
        <f t="shared" si="8"/>
        <v>13</v>
      </c>
      <c r="D29" s="84"/>
      <c r="E29" s="166"/>
      <c r="F29" s="160"/>
      <c r="G29" s="89"/>
      <c r="H29" s="89"/>
      <c r="I29"/>
      <c r="J29" s="85"/>
      <c r="K29" s="84"/>
      <c r="L29" s="84"/>
      <c r="M29" s="84"/>
      <c r="N29" s="84"/>
      <c r="O29"/>
      <c r="P29" s="190"/>
      <c r="Q29" s="190"/>
      <c r="R29" s="190"/>
      <c r="S29" s="190"/>
      <c r="T29" s="84"/>
      <c r="U29"/>
      <c r="V29" s="85"/>
      <c r="W29" s="85"/>
      <c r="X29" s="85"/>
      <c r="Y29" s="85"/>
      <c r="Z29" s="85"/>
      <c r="AA29" s="84">
        <v>0</v>
      </c>
      <c r="AB29"/>
      <c r="AC29" s="85"/>
      <c r="AD29" s="85"/>
      <c r="AE29" s="85"/>
      <c r="AF29" s="85"/>
      <c r="AG29" s="84">
        <v>0</v>
      </c>
      <c r="AH29"/>
      <c r="AI29" s="84">
        <v>0</v>
      </c>
      <c r="AJ29" s="84">
        <v>0</v>
      </c>
      <c r="AK29" s="84">
        <v>0</v>
      </c>
      <c r="AL29" s="84">
        <v>0</v>
      </c>
      <c r="AM29" s="84">
        <v>60000</v>
      </c>
      <c r="AN29" s="84">
        <v>0</v>
      </c>
      <c r="AO29" s="84">
        <v>0</v>
      </c>
      <c r="AP29" s="239"/>
    </row>
    <row r="30" spans="1:93" s="27" customFormat="1" ht="16.5" customHeight="1" x14ac:dyDescent="0.25">
      <c r="A30" s="14"/>
      <c r="B30" s="259">
        <f t="shared" si="8"/>
        <v>14</v>
      </c>
      <c r="D30" s="161"/>
      <c r="E30" s="174"/>
      <c r="F30" s="160"/>
      <c r="G30" s="89"/>
      <c r="H30" s="89"/>
      <c r="I30"/>
      <c r="J30" s="85"/>
      <c r="K30" s="84"/>
      <c r="L30" s="84"/>
      <c r="M30" s="84"/>
      <c r="N30" s="84"/>
      <c r="O30"/>
      <c r="P30" s="190"/>
      <c r="Q30" s="190"/>
      <c r="R30" s="190"/>
      <c r="S30" s="190"/>
      <c r="T30" s="84"/>
      <c r="U30"/>
      <c r="V30" s="85"/>
      <c r="W30" s="85"/>
      <c r="X30" s="85"/>
      <c r="Y30" s="85"/>
      <c r="Z30" s="85"/>
      <c r="AA30" s="84">
        <v>0</v>
      </c>
      <c r="AB30"/>
      <c r="AC30" s="85"/>
      <c r="AD30" s="85"/>
      <c r="AE30" s="85"/>
      <c r="AF30" s="85"/>
      <c r="AG30" s="84">
        <v>0</v>
      </c>
      <c r="AH30"/>
      <c r="AI30" s="84">
        <v>0</v>
      </c>
      <c r="AJ30" s="84">
        <v>0</v>
      </c>
      <c r="AK30" s="84">
        <v>75000</v>
      </c>
      <c r="AL30" s="84">
        <v>0</v>
      </c>
      <c r="AM30" s="84">
        <v>0</v>
      </c>
      <c r="AN30" s="84">
        <v>0</v>
      </c>
      <c r="AO30" s="84">
        <v>0</v>
      </c>
      <c r="AP30" s="239"/>
    </row>
    <row r="31" spans="1:93" s="27" customFormat="1" ht="16.5" customHeight="1" x14ac:dyDescent="0.25">
      <c r="A31" s="14"/>
      <c r="B31" s="259">
        <f t="shared" si="8"/>
        <v>15</v>
      </c>
      <c r="C31" s="5"/>
      <c r="D31" s="157"/>
      <c r="E31" s="185"/>
      <c r="F31" s="89"/>
      <c r="G31" s="89"/>
      <c r="H31" s="89"/>
      <c r="I31"/>
      <c r="J31" s="85"/>
      <c r="K31" s="85"/>
      <c r="L31" s="85"/>
      <c r="M31" s="177">
        <v>50000</v>
      </c>
      <c r="N31" s="163">
        <f>SUM(J31:M31)</f>
        <v>50000</v>
      </c>
      <c r="O31"/>
      <c r="P31" s="191"/>
      <c r="Q31" s="191"/>
      <c r="R31" s="191"/>
      <c r="S31" s="191"/>
      <c r="T31" s="126"/>
      <c r="U31"/>
      <c r="V31" s="85"/>
      <c r="W31" s="85"/>
      <c r="X31" s="85"/>
      <c r="Y31" s="85"/>
      <c r="Z31" s="85"/>
      <c r="AA31" s="85"/>
      <c r="AB31"/>
      <c r="AC31" s="85"/>
      <c r="AD31" s="85"/>
      <c r="AE31" s="85"/>
      <c r="AF31" s="85"/>
      <c r="AG31" s="84">
        <v>0</v>
      </c>
      <c r="AH31"/>
      <c r="AI31" s="85"/>
      <c r="AJ31" s="85"/>
      <c r="AK31" s="85"/>
      <c r="AL31" s="85"/>
      <c r="AM31" s="85"/>
      <c r="AN31" s="85"/>
      <c r="AO31" s="85">
        <v>0</v>
      </c>
      <c r="AP31" s="239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</row>
    <row r="32" spans="1:93" s="27" customFormat="1" ht="16.5" customHeight="1" x14ac:dyDescent="0.25">
      <c r="A32" s="14"/>
      <c r="B32" s="259">
        <f t="shared" si="8"/>
        <v>16</v>
      </c>
      <c r="D32" s="160"/>
      <c r="E32" s="96"/>
      <c r="F32" s="163"/>
      <c r="G32" s="170"/>
      <c r="H32" s="163"/>
      <c r="I32"/>
      <c r="J32" s="85"/>
      <c r="K32" s="84"/>
      <c r="L32" s="84"/>
      <c r="M32" s="84"/>
      <c r="N32" s="84"/>
      <c r="O32"/>
      <c r="P32" s="190"/>
      <c r="Q32" s="163">
        <v>100000</v>
      </c>
      <c r="R32" s="190"/>
      <c r="S32" s="190"/>
      <c r="T32" s="84"/>
      <c r="U32"/>
      <c r="V32" s="85"/>
      <c r="W32" s="85"/>
      <c r="X32" s="85"/>
      <c r="Y32" s="85"/>
      <c r="Z32" s="85"/>
      <c r="AA32" s="84">
        <v>0</v>
      </c>
      <c r="AB32"/>
      <c r="AC32" s="85"/>
      <c r="AD32" s="85"/>
      <c r="AE32" s="85"/>
      <c r="AF32" s="85"/>
      <c r="AG32" s="84">
        <v>0</v>
      </c>
      <c r="AH32"/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84">
        <v>0</v>
      </c>
      <c r="AO32" s="84">
        <v>0</v>
      </c>
      <c r="AP32" s="239"/>
    </row>
    <row r="33" spans="1:93" s="27" customFormat="1" ht="16.5" customHeight="1" x14ac:dyDescent="0.25">
      <c r="A33" s="14"/>
      <c r="B33" s="259">
        <f t="shared" si="8"/>
        <v>17</v>
      </c>
      <c r="D33" s="163">
        <v>31000</v>
      </c>
      <c r="E33" s="96"/>
      <c r="F33" s="160"/>
      <c r="G33" s="170"/>
      <c r="H33" s="163">
        <f>SUM(D33:G33)</f>
        <v>31000</v>
      </c>
      <c r="I33"/>
      <c r="J33" s="85"/>
      <c r="K33" s="84"/>
      <c r="L33" s="84"/>
      <c r="M33" s="84"/>
      <c r="N33" s="84"/>
      <c r="O33"/>
      <c r="P33" s="190"/>
      <c r="Q33" s="190"/>
      <c r="R33" s="190"/>
      <c r="S33" s="190"/>
      <c r="T33" s="84"/>
      <c r="U33"/>
      <c r="V33" s="85"/>
      <c r="W33" s="85"/>
      <c r="X33" s="85"/>
      <c r="Y33" s="85"/>
      <c r="Z33" s="85"/>
      <c r="AA33" s="84">
        <v>0</v>
      </c>
      <c r="AB33"/>
      <c r="AC33" s="85"/>
      <c r="AD33" s="85"/>
      <c r="AE33" s="85"/>
      <c r="AF33" s="85"/>
      <c r="AG33" s="84">
        <v>0</v>
      </c>
      <c r="AH33"/>
      <c r="AI33" s="84">
        <v>0</v>
      </c>
      <c r="AJ33" s="84">
        <v>0</v>
      </c>
      <c r="AK33" s="84">
        <v>0</v>
      </c>
      <c r="AL33" s="84">
        <v>0</v>
      </c>
      <c r="AM33" s="84">
        <v>0</v>
      </c>
      <c r="AN33" s="84">
        <v>0</v>
      </c>
      <c r="AO33" s="84">
        <v>31000</v>
      </c>
      <c r="AP33" s="239"/>
    </row>
    <row r="34" spans="1:93" s="27" customFormat="1" ht="16.350000000000001" customHeight="1" x14ac:dyDescent="0.25">
      <c r="A34" s="14"/>
      <c r="B34" s="259">
        <f t="shared" si="8"/>
        <v>18</v>
      </c>
      <c r="D34" s="160"/>
      <c r="E34" s="160"/>
      <c r="F34" s="175"/>
      <c r="G34" s="196"/>
      <c r="H34" s="170"/>
      <c r="I34"/>
      <c r="J34" s="85"/>
      <c r="K34" s="84"/>
      <c r="L34" s="84"/>
      <c r="M34" s="84"/>
      <c r="N34" s="84"/>
      <c r="O34"/>
      <c r="P34" s="190"/>
      <c r="Q34" s="190"/>
      <c r="R34" s="190"/>
      <c r="S34" s="190"/>
      <c r="T34" s="197"/>
      <c r="U34"/>
      <c r="V34" s="85"/>
      <c r="W34" s="85"/>
      <c r="X34" s="85"/>
      <c r="Y34" s="85"/>
      <c r="Z34" s="85"/>
      <c r="AA34" s="84">
        <v>0</v>
      </c>
      <c r="AB34"/>
      <c r="AC34" s="85"/>
      <c r="AD34" s="85"/>
      <c r="AE34" s="85"/>
      <c r="AF34" s="85"/>
      <c r="AG34" s="84">
        <v>0</v>
      </c>
      <c r="AH34"/>
      <c r="AI34" s="84">
        <v>0</v>
      </c>
      <c r="AJ34" s="84">
        <v>0</v>
      </c>
      <c r="AK34" s="84">
        <v>40000</v>
      </c>
      <c r="AL34" s="84">
        <v>0</v>
      </c>
      <c r="AM34" s="84">
        <v>0</v>
      </c>
      <c r="AN34" s="84">
        <v>0</v>
      </c>
      <c r="AO34" s="84">
        <v>0</v>
      </c>
      <c r="AP34" s="239"/>
    </row>
    <row r="35" spans="1:93" s="27" customFormat="1" ht="16.5" customHeight="1" x14ac:dyDescent="0.25">
      <c r="A35" s="14"/>
      <c r="B35" s="259">
        <f t="shared" si="8"/>
        <v>19</v>
      </c>
      <c r="D35" s="162"/>
      <c r="E35" s="163">
        <v>100000</v>
      </c>
      <c r="F35" s="162"/>
      <c r="H35" s="163">
        <f>SUM(D35:G35)</f>
        <v>100000</v>
      </c>
      <c r="I35"/>
      <c r="J35" s="85"/>
      <c r="K35" s="84"/>
      <c r="L35" s="84"/>
      <c r="M35" s="84"/>
      <c r="N35" s="84"/>
      <c r="O35"/>
      <c r="P35" s="190"/>
      <c r="Q35" s="190"/>
      <c r="R35" s="190"/>
      <c r="S35" s="190"/>
      <c r="T35" s="190"/>
      <c r="U35"/>
      <c r="V35" s="85"/>
      <c r="W35" s="85"/>
      <c r="X35" s="85"/>
      <c r="Y35" s="85"/>
      <c r="Z35" s="85"/>
      <c r="AA35" s="84">
        <v>0</v>
      </c>
      <c r="AB35"/>
      <c r="AC35" s="85"/>
      <c r="AD35" s="85"/>
      <c r="AE35" s="85"/>
      <c r="AF35" s="85"/>
      <c r="AG35" s="84">
        <v>0</v>
      </c>
      <c r="AH35"/>
      <c r="AI35" s="84">
        <v>0</v>
      </c>
      <c r="AJ35" s="84">
        <v>0</v>
      </c>
      <c r="AK35" s="84">
        <v>0</v>
      </c>
      <c r="AL35" s="84">
        <v>0</v>
      </c>
      <c r="AM35" s="84">
        <v>0</v>
      </c>
      <c r="AN35" s="84">
        <v>0</v>
      </c>
      <c r="AO35" s="84">
        <v>0</v>
      </c>
      <c r="AP35" s="239"/>
    </row>
    <row r="36" spans="1:93" s="27" customFormat="1" ht="16.5" customHeight="1" x14ac:dyDescent="0.25">
      <c r="A36" s="14"/>
      <c r="B36" s="259">
        <f t="shared" si="8"/>
        <v>20</v>
      </c>
      <c r="D36" s="84"/>
      <c r="E36" s="84"/>
      <c r="F36" s="84"/>
      <c r="G36" s="85"/>
      <c r="H36" s="89"/>
      <c r="I36"/>
      <c r="J36" s="85"/>
      <c r="K36" s="84"/>
      <c r="L36" s="84"/>
      <c r="M36" s="84"/>
      <c r="N36" s="84"/>
      <c r="O36"/>
      <c r="P36" s="190"/>
      <c r="Q36" s="190"/>
      <c r="R36" s="190"/>
      <c r="S36" s="190"/>
      <c r="T36" s="190"/>
      <c r="U36"/>
      <c r="V36" s="85"/>
      <c r="W36" s="85"/>
      <c r="X36" s="85"/>
      <c r="Y36" s="85"/>
      <c r="Z36" s="85"/>
      <c r="AA36" s="84">
        <v>0</v>
      </c>
      <c r="AB36"/>
      <c r="AC36" s="85"/>
      <c r="AD36" s="85"/>
      <c r="AE36" s="85"/>
      <c r="AF36" s="85"/>
      <c r="AG36" s="84">
        <v>0</v>
      </c>
      <c r="AH36"/>
      <c r="AI36" s="84">
        <v>0</v>
      </c>
      <c r="AJ36" s="84">
        <v>120000</v>
      </c>
      <c r="AK36" s="84">
        <v>0</v>
      </c>
      <c r="AL36" s="84">
        <v>0</v>
      </c>
      <c r="AM36" s="84">
        <v>0</v>
      </c>
      <c r="AN36" s="84">
        <v>0</v>
      </c>
      <c r="AO36" s="84">
        <v>0</v>
      </c>
      <c r="AP36" s="239"/>
    </row>
    <row r="37" spans="1:93" s="27" customFormat="1" ht="16.5" customHeight="1" x14ac:dyDescent="0.25">
      <c r="A37" s="14"/>
      <c r="B37" s="259">
        <f t="shared" si="8"/>
        <v>21</v>
      </c>
      <c r="D37" s="84"/>
      <c r="E37" s="84"/>
      <c r="F37" s="84"/>
      <c r="G37" s="85"/>
      <c r="H37" s="85"/>
      <c r="I37"/>
      <c r="J37" s="85"/>
      <c r="K37" s="84"/>
      <c r="L37" s="84"/>
      <c r="M37" s="84"/>
      <c r="N37" s="84"/>
      <c r="O37"/>
      <c r="P37" s="190"/>
      <c r="Q37" s="190"/>
      <c r="R37" s="190"/>
      <c r="S37" s="190"/>
      <c r="T37" s="190"/>
      <c r="U37"/>
      <c r="V37" s="85"/>
      <c r="W37" s="85"/>
      <c r="X37" s="85"/>
      <c r="Y37" s="85"/>
      <c r="Z37" s="85"/>
      <c r="AA37" s="84">
        <v>0</v>
      </c>
      <c r="AB37"/>
      <c r="AC37" s="85"/>
      <c r="AD37" s="85"/>
      <c r="AE37" s="85"/>
      <c r="AF37" s="85"/>
      <c r="AG37" s="84">
        <v>0</v>
      </c>
      <c r="AH37"/>
      <c r="AI37" s="84">
        <v>0</v>
      </c>
      <c r="AJ37" s="84">
        <v>0</v>
      </c>
      <c r="AK37" s="84">
        <v>0</v>
      </c>
      <c r="AL37" s="84">
        <v>0</v>
      </c>
      <c r="AM37" s="84">
        <v>105000</v>
      </c>
      <c r="AN37" s="84">
        <v>0</v>
      </c>
      <c r="AO37" s="84">
        <v>0</v>
      </c>
      <c r="AP37" s="239"/>
    </row>
    <row r="38" spans="1:93" s="27" customFormat="1" ht="16.5" customHeight="1" x14ac:dyDescent="0.25">
      <c r="A38" s="14"/>
      <c r="B38" s="259">
        <f>B37+1</f>
        <v>22</v>
      </c>
      <c r="D38" s="84"/>
      <c r="E38" s="84"/>
      <c r="F38" s="84"/>
      <c r="G38" s="84"/>
      <c r="H38" s="85"/>
      <c r="I38"/>
      <c r="J38" s="84"/>
      <c r="K38" s="84"/>
      <c r="L38" s="84"/>
      <c r="M38" s="84"/>
      <c r="N38" s="84"/>
      <c r="O38"/>
      <c r="P38" s="190"/>
      <c r="Q38" s="190"/>
      <c r="R38" s="190"/>
      <c r="S38" s="190"/>
      <c r="T38" s="190"/>
      <c r="U38"/>
      <c r="V38" s="85"/>
      <c r="W38" s="85"/>
      <c r="X38" s="85"/>
      <c r="Y38" s="85"/>
      <c r="Z38" s="85"/>
      <c r="AA38" s="84">
        <v>0</v>
      </c>
      <c r="AB38"/>
      <c r="AC38" s="85"/>
      <c r="AD38" s="85"/>
      <c r="AE38" s="85"/>
      <c r="AF38" s="85"/>
      <c r="AG38" s="84">
        <v>0</v>
      </c>
      <c r="AH38"/>
      <c r="AI38" s="84">
        <v>95000</v>
      </c>
      <c r="AJ38" s="84">
        <v>0</v>
      </c>
      <c r="AK38" s="84">
        <v>0</v>
      </c>
      <c r="AL38" s="84">
        <v>0</v>
      </c>
      <c r="AM38" s="84">
        <v>0</v>
      </c>
      <c r="AN38" s="84">
        <v>0</v>
      </c>
      <c r="AO38" s="84">
        <v>0</v>
      </c>
      <c r="AP38" s="239"/>
    </row>
    <row r="39" spans="1:93" s="27" customFormat="1" ht="16.5" customHeight="1" x14ac:dyDescent="0.25">
      <c r="A39" s="14"/>
      <c r="B39" s="259">
        <f t="shared" si="8"/>
        <v>23</v>
      </c>
      <c r="D39" s="84"/>
      <c r="E39" s="84"/>
      <c r="F39" s="84"/>
      <c r="G39" s="84"/>
      <c r="H39" s="84"/>
      <c r="I39"/>
      <c r="J39" s="84"/>
      <c r="K39" s="84"/>
      <c r="L39" s="84"/>
      <c r="M39" s="84"/>
      <c r="N39" s="84"/>
      <c r="O39"/>
      <c r="P39" s="190"/>
      <c r="Q39" s="190"/>
      <c r="R39" s="190"/>
      <c r="S39" s="190"/>
      <c r="T39" s="190"/>
      <c r="U39"/>
      <c r="V39" s="85"/>
      <c r="W39" s="85"/>
      <c r="X39" s="85"/>
      <c r="Y39" s="85"/>
      <c r="Z39" s="85"/>
      <c r="AA39" s="84">
        <v>0</v>
      </c>
      <c r="AB39"/>
      <c r="AC39" s="85"/>
      <c r="AD39" s="85"/>
      <c r="AE39" s="85"/>
      <c r="AF39" s="85"/>
      <c r="AG39" s="84">
        <v>0</v>
      </c>
      <c r="AH39"/>
      <c r="AI39" s="84">
        <v>0</v>
      </c>
      <c r="AJ39" s="84">
        <v>0</v>
      </c>
      <c r="AK39" s="84">
        <v>0</v>
      </c>
      <c r="AL39" s="84">
        <v>37500</v>
      </c>
      <c r="AM39" s="84">
        <v>0</v>
      </c>
      <c r="AN39" s="84">
        <v>0</v>
      </c>
      <c r="AO39" s="84">
        <v>0</v>
      </c>
      <c r="AP39" s="239"/>
    </row>
    <row r="40" spans="1:93" s="27" customFormat="1" ht="16.5" customHeight="1" x14ac:dyDescent="0.25">
      <c r="A40" s="14"/>
      <c r="B40" s="259">
        <f t="shared" si="8"/>
        <v>24</v>
      </c>
      <c r="D40" s="84"/>
      <c r="E40" s="84"/>
      <c r="F40" s="84"/>
      <c r="G40" s="84"/>
      <c r="H40" s="84"/>
      <c r="I40"/>
      <c r="J40" s="84"/>
      <c r="K40" s="84"/>
      <c r="L40" s="84"/>
      <c r="M40" s="84"/>
      <c r="N40" s="84"/>
      <c r="O40"/>
      <c r="P40" s="190"/>
      <c r="Q40" s="190"/>
      <c r="R40" s="190"/>
      <c r="S40" s="190"/>
      <c r="T40" s="190"/>
      <c r="U40"/>
      <c r="V40" s="85"/>
      <c r="W40" s="85"/>
      <c r="X40" s="85"/>
      <c r="Y40" s="85"/>
      <c r="Z40" s="236">
        <v>150000</v>
      </c>
      <c r="AA40" s="84">
        <v>0</v>
      </c>
      <c r="AB40"/>
      <c r="AC40" s="85"/>
      <c r="AD40" s="85"/>
      <c r="AE40" s="85"/>
      <c r="AF40" s="85"/>
      <c r="AG40" s="84">
        <v>0</v>
      </c>
      <c r="AH40"/>
      <c r="AI40" s="84">
        <v>0</v>
      </c>
      <c r="AJ40" s="84">
        <v>0</v>
      </c>
      <c r="AK40" s="84">
        <v>0</v>
      </c>
      <c r="AL40" s="84">
        <v>0</v>
      </c>
      <c r="AM40" s="84">
        <v>0</v>
      </c>
      <c r="AN40" s="84">
        <v>0</v>
      </c>
      <c r="AO40" s="84">
        <v>0</v>
      </c>
      <c r="AP40" s="239"/>
    </row>
    <row r="41" spans="1:93" s="27" customFormat="1" ht="16.5" customHeight="1" x14ac:dyDescent="0.25">
      <c r="A41" s="14"/>
      <c r="B41" s="259">
        <f t="shared" si="8"/>
        <v>25</v>
      </c>
      <c r="D41" s="84"/>
      <c r="E41" s="84"/>
      <c r="F41" s="84"/>
      <c r="G41" s="84"/>
      <c r="H41" s="84"/>
      <c r="I41"/>
      <c r="J41" s="84"/>
      <c r="K41" s="84"/>
      <c r="L41" s="84"/>
      <c r="M41" s="84"/>
      <c r="N41" s="84"/>
      <c r="O41"/>
      <c r="P41" s="190"/>
      <c r="Q41" s="190"/>
      <c r="R41" s="190"/>
      <c r="S41" s="190"/>
      <c r="T41" s="190"/>
      <c r="U41"/>
      <c r="V41" s="85"/>
      <c r="W41" s="85"/>
      <c r="X41" s="85"/>
      <c r="Y41" s="85"/>
      <c r="Z41" s="85"/>
      <c r="AA41" s="84">
        <v>0</v>
      </c>
      <c r="AB41"/>
      <c r="AC41" s="85"/>
      <c r="AD41" s="85"/>
      <c r="AE41" s="85"/>
      <c r="AF41" s="85"/>
      <c r="AG41" s="84">
        <v>0</v>
      </c>
      <c r="AH41"/>
      <c r="AI41" s="84">
        <v>0</v>
      </c>
      <c r="AJ41" s="84">
        <v>0</v>
      </c>
      <c r="AK41" s="84">
        <v>0</v>
      </c>
      <c r="AL41" s="84">
        <v>0</v>
      </c>
      <c r="AM41" s="84">
        <v>150000</v>
      </c>
      <c r="AN41" s="84">
        <v>0</v>
      </c>
      <c r="AO41" s="84">
        <v>0</v>
      </c>
      <c r="AP41" s="239"/>
    </row>
    <row r="42" spans="1:93" s="27" customFormat="1" ht="16.5" customHeight="1" x14ac:dyDescent="0.25">
      <c r="A42" s="14"/>
      <c r="B42" s="259">
        <f t="shared" si="8"/>
        <v>26</v>
      </c>
      <c r="D42" s="84"/>
      <c r="E42" s="84"/>
      <c r="F42" s="84"/>
      <c r="G42" s="84"/>
      <c r="H42" s="84"/>
      <c r="I42"/>
      <c r="J42" s="84"/>
      <c r="K42" s="84"/>
      <c r="L42" s="84"/>
      <c r="M42" s="84"/>
      <c r="N42" s="84"/>
      <c r="O42"/>
      <c r="P42" s="190"/>
      <c r="Q42" s="190"/>
      <c r="R42" s="190"/>
      <c r="S42" s="190"/>
      <c r="T42" s="190"/>
      <c r="U42"/>
      <c r="V42" s="85"/>
      <c r="W42" s="85"/>
      <c r="X42" s="85"/>
      <c r="Y42" s="236">
        <v>80000</v>
      </c>
      <c r="Z42" s="85"/>
      <c r="AA42" s="84">
        <v>0</v>
      </c>
      <c r="AB42"/>
      <c r="AC42" s="85"/>
      <c r="AD42" s="85"/>
      <c r="AE42" s="85"/>
      <c r="AF42" s="85"/>
      <c r="AG42" s="84">
        <v>0</v>
      </c>
      <c r="AH42"/>
      <c r="AI42" s="84">
        <v>0</v>
      </c>
      <c r="AJ42" s="84">
        <v>0</v>
      </c>
      <c r="AK42" s="84">
        <v>0</v>
      </c>
      <c r="AL42" s="84">
        <v>0</v>
      </c>
      <c r="AM42" s="84">
        <v>0</v>
      </c>
      <c r="AN42" s="84">
        <v>0</v>
      </c>
      <c r="AO42" s="84">
        <v>0</v>
      </c>
      <c r="AP42" s="239"/>
    </row>
    <row r="43" spans="1:93" s="27" customFormat="1" ht="16.5" customHeight="1" x14ac:dyDescent="0.25">
      <c r="A43" s="17"/>
      <c r="B43" s="259">
        <f t="shared" si="8"/>
        <v>27</v>
      </c>
      <c r="D43" s="84"/>
      <c r="E43" s="84"/>
      <c r="F43" s="84"/>
      <c r="G43" s="84"/>
      <c r="H43" s="84"/>
      <c r="I43"/>
      <c r="J43" s="84"/>
      <c r="K43" s="84"/>
      <c r="L43" s="84"/>
      <c r="M43" s="84"/>
      <c r="N43" s="84"/>
      <c r="O43"/>
      <c r="P43" s="190"/>
      <c r="Q43" s="190"/>
      <c r="R43" s="190"/>
      <c r="S43" s="190"/>
      <c r="T43" s="190"/>
      <c r="U43"/>
      <c r="V43" s="85"/>
      <c r="W43" s="85"/>
      <c r="X43" s="85"/>
      <c r="Y43" s="85"/>
      <c r="Z43" s="85"/>
      <c r="AA43" s="84">
        <v>0</v>
      </c>
      <c r="AB43"/>
      <c r="AC43" s="85"/>
      <c r="AD43" s="85"/>
      <c r="AE43" s="85"/>
      <c r="AF43" s="85"/>
      <c r="AG43" s="84">
        <v>0</v>
      </c>
      <c r="AH43"/>
      <c r="AI43" s="84">
        <v>0</v>
      </c>
      <c r="AJ43" s="84">
        <v>0</v>
      </c>
      <c r="AK43" s="84">
        <v>110000</v>
      </c>
      <c r="AL43" s="84">
        <v>0</v>
      </c>
      <c r="AM43" s="84">
        <v>0</v>
      </c>
      <c r="AN43" s="84">
        <v>0</v>
      </c>
      <c r="AO43" s="84">
        <v>0</v>
      </c>
      <c r="AP43" s="239"/>
    </row>
    <row r="44" spans="1:93" s="27" customFormat="1" ht="16.5" customHeight="1" x14ac:dyDescent="0.25">
      <c r="A44" s="14"/>
      <c r="B44" s="259">
        <f t="shared" si="8"/>
        <v>28</v>
      </c>
      <c r="D44" s="84"/>
      <c r="E44" s="84"/>
      <c r="F44" s="84"/>
      <c r="G44" s="84"/>
      <c r="H44" s="84"/>
      <c r="I44"/>
      <c r="J44" s="84"/>
      <c r="K44" s="84"/>
      <c r="L44" s="84"/>
      <c r="M44" s="84"/>
      <c r="N44" s="84"/>
      <c r="O44"/>
      <c r="P44" s="190"/>
      <c r="Q44" s="190"/>
      <c r="R44" s="192"/>
      <c r="S44" s="190"/>
      <c r="T44" s="190"/>
      <c r="U44"/>
      <c r="V44" s="85"/>
      <c r="W44" s="85"/>
      <c r="X44" s="85"/>
      <c r="Y44" s="85"/>
      <c r="Z44" s="85"/>
      <c r="AA44" s="84">
        <v>0</v>
      </c>
      <c r="AB44"/>
      <c r="AC44" s="85"/>
      <c r="AD44" s="85"/>
      <c r="AE44" s="85"/>
      <c r="AF44" s="84">
        <v>25000</v>
      </c>
      <c r="AG44" s="84">
        <v>0</v>
      </c>
      <c r="AH44"/>
      <c r="AI44" s="84">
        <v>0</v>
      </c>
      <c r="AJ44" s="84">
        <v>0</v>
      </c>
      <c r="AK44" s="84">
        <v>0</v>
      </c>
      <c r="AL44" s="84">
        <v>50000</v>
      </c>
      <c r="AM44" s="84">
        <v>0</v>
      </c>
      <c r="AN44" s="84">
        <v>0</v>
      </c>
      <c r="AO44" s="84">
        <v>0</v>
      </c>
      <c r="AP44" s="239"/>
    </row>
    <row r="45" spans="1:93" s="27" customFormat="1" ht="16.5" customHeight="1" x14ac:dyDescent="0.25">
      <c r="A45" s="14"/>
      <c r="B45" s="259">
        <f t="shared" si="8"/>
        <v>29</v>
      </c>
      <c r="C45" s="5"/>
      <c r="D45" s="84"/>
      <c r="E45" s="84"/>
      <c r="F45" s="84"/>
      <c r="G45" s="84"/>
      <c r="H45" s="84"/>
      <c r="I45"/>
      <c r="J45" s="84"/>
      <c r="K45" s="84"/>
      <c r="L45" s="84"/>
      <c r="M45" s="84"/>
      <c r="N45" s="84"/>
      <c r="O45"/>
      <c r="P45" s="190"/>
      <c r="Q45" s="190"/>
      <c r="R45" s="84"/>
      <c r="S45" s="190"/>
      <c r="T45" s="190"/>
      <c r="U45"/>
      <c r="V45" s="85"/>
      <c r="W45" s="85"/>
      <c r="X45" s="85"/>
      <c r="Y45" s="85"/>
      <c r="Z45" s="85"/>
      <c r="AA45" s="84">
        <v>0</v>
      </c>
      <c r="AB45"/>
      <c r="AC45" s="85"/>
      <c r="AD45" s="85"/>
      <c r="AE45" s="85"/>
      <c r="AF45" s="85"/>
      <c r="AG45" s="84">
        <v>0</v>
      </c>
      <c r="AH45"/>
      <c r="AI45" s="84">
        <v>0</v>
      </c>
      <c r="AJ45" s="84">
        <v>100000</v>
      </c>
      <c r="AK45" s="84">
        <v>0</v>
      </c>
      <c r="AL45" s="84">
        <v>0</v>
      </c>
      <c r="AM45" s="84">
        <v>0</v>
      </c>
      <c r="AN45" s="84">
        <v>0</v>
      </c>
      <c r="AO45" s="84">
        <v>0</v>
      </c>
      <c r="AP45" s="239"/>
      <c r="AR45" s="5"/>
      <c r="AS45" s="5"/>
      <c r="AT45" s="5"/>
      <c r="AU45" s="5"/>
    </row>
    <row r="46" spans="1:93" s="27" customFormat="1" ht="16.5" customHeight="1" x14ac:dyDescent="0.25">
      <c r="A46" s="14"/>
      <c r="B46" s="259">
        <f t="shared" si="8"/>
        <v>30</v>
      </c>
      <c r="D46" s="84"/>
      <c r="E46" s="84"/>
      <c r="F46" s="84"/>
      <c r="G46" s="84"/>
      <c r="H46" s="84"/>
      <c r="I46"/>
      <c r="J46" s="84"/>
      <c r="K46" s="84"/>
      <c r="L46" s="84"/>
      <c r="M46" s="84"/>
      <c r="N46" s="126"/>
      <c r="O46"/>
      <c r="P46" s="190"/>
      <c r="Q46" s="190"/>
      <c r="R46" s="126"/>
      <c r="S46" s="190"/>
      <c r="T46" s="190"/>
      <c r="U46"/>
      <c r="V46" s="143">
        <v>99000</v>
      </c>
      <c r="W46" s="85"/>
      <c r="X46" s="85"/>
      <c r="Y46" s="85"/>
      <c r="Z46" s="85"/>
      <c r="AA46" s="84">
        <v>0</v>
      </c>
      <c r="AB46"/>
      <c r="AC46" s="143"/>
      <c r="AD46" s="85"/>
      <c r="AE46" s="85"/>
      <c r="AF46" s="85"/>
      <c r="AG46" s="84">
        <v>0</v>
      </c>
      <c r="AH46"/>
      <c r="AI46" s="84">
        <v>0</v>
      </c>
      <c r="AJ46" s="84">
        <v>0</v>
      </c>
      <c r="AK46" s="84">
        <v>0</v>
      </c>
      <c r="AL46" s="84">
        <v>0</v>
      </c>
      <c r="AM46" s="84">
        <v>0</v>
      </c>
      <c r="AN46" s="84">
        <v>0</v>
      </c>
      <c r="AO46" s="84">
        <v>0</v>
      </c>
      <c r="AP46" s="239"/>
    </row>
    <row r="47" spans="1:93" s="27" customFormat="1" ht="16.5" customHeight="1" x14ac:dyDescent="0.25">
      <c r="A47" s="14"/>
      <c r="B47" s="259">
        <f t="shared" si="8"/>
        <v>31</v>
      </c>
      <c r="D47" s="84"/>
      <c r="E47" s="84"/>
      <c r="F47" s="84"/>
      <c r="G47" s="177"/>
      <c r="H47" s="163"/>
      <c r="I47"/>
      <c r="J47" s="84"/>
      <c r="K47" s="84"/>
      <c r="L47" s="84"/>
      <c r="M47" s="84"/>
      <c r="N47" s="126"/>
      <c r="O47"/>
      <c r="P47" s="190"/>
      <c r="Q47" s="190"/>
      <c r="R47" s="163">
        <v>25000</v>
      </c>
      <c r="S47" s="190"/>
      <c r="T47" s="190"/>
      <c r="U47"/>
      <c r="V47" s="85"/>
      <c r="W47" s="85"/>
      <c r="X47" s="85"/>
      <c r="Y47" s="85"/>
      <c r="Z47" s="85"/>
      <c r="AA47" s="84">
        <v>0</v>
      </c>
      <c r="AB47"/>
      <c r="AC47" s="85"/>
      <c r="AD47" s="85"/>
      <c r="AE47" s="85"/>
      <c r="AF47" s="85"/>
      <c r="AG47" s="84">
        <v>0</v>
      </c>
      <c r="AH47"/>
      <c r="AI47" s="84">
        <v>0</v>
      </c>
      <c r="AJ47" s="84">
        <v>0</v>
      </c>
      <c r="AK47" s="84">
        <v>0</v>
      </c>
      <c r="AL47" s="84">
        <v>0</v>
      </c>
      <c r="AM47" s="84">
        <v>0</v>
      </c>
      <c r="AN47" s="84">
        <v>0</v>
      </c>
      <c r="AO47" s="84">
        <v>0</v>
      </c>
      <c r="AP47" s="239"/>
    </row>
    <row r="48" spans="1:93" s="27" customFormat="1" ht="16.5" customHeight="1" x14ac:dyDescent="0.25">
      <c r="A48" s="14"/>
      <c r="B48" s="259">
        <f t="shared" si="8"/>
        <v>32</v>
      </c>
      <c r="D48" s="84"/>
      <c r="E48" s="84"/>
      <c r="F48" s="84"/>
      <c r="G48" s="84"/>
      <c r="H48" s="84"/>
      <c r="I48"/>
      <c r="J48" s="84"/>
      <c r="K48" s="84"/>
      <c r="L48" s="84"/>
      <c r="M48" s="84"/>
      <c r="N48" s="84"/>
      <c r="O48"/>
      <c r="P48" s="190"/>
      <c r="Q48" s="190"/>
      <c r="R48" s="84"/>
      <c r="S48" s="190"/>
      <c r="T48" s="190"/>
      <c r="U48"/>
      <c r="V48" s="85"/>
      <c r="W48" s="85"/>
      <c r="X48" s="85"/>
      <c r="Y48" s="85"/>
      <c r="Z48" s="85"/>
      <c r="AA48" s="84">
        <v>0</v>
      </c>
      <c r="AB48"/>
      <c r="AC48" s="85"/>
      <c r="AD48" s="85"/>
      <c r="AE48" s="85"/>
      <c r="AF48" s="85"/>
      <c r="AG48" s="84">
        <v>0</v>
      </c>
      <c r="AH48"/>
      <c r="AI48" s="84">
        <v>0</v>
      </c>
      <c r="AJ48" s="84">
        <v>0</v>
      </c>
      <c r="AK48" s="84">
        <v>0</v>
      </c>
      <c r="AL48" s="84">
        <v>89000</v>
      </c>
      <c r="AM48" s="84">
        <v>0</v>
      </c>
      <c r="AN48" s="84">
        <v>0</v>
      </c>
      <c r="AO48" s="84">
        <v>0</v>
      </c>
      <c r="AP48" s="239"/>
    </row>
    <row r="49" spans="1:42" s="27" customFormat="1" ht="16.5" customHeight="1" x14ac:dyDescent="0.25">
      <c r="A49" s="14"/>
      <c r="B49" s="259">
        <f t="shared" si="8"/>
        <v>33</v>
      </c>
      <c r="D49" s="84"/>
      <c r="E49" s="84"/>
      <c r="F49" s="84"/>
      <c r="G49" s="84"/>
      <c r="H49" s="84"/>
      <c r="I49"/>
      <c r="J49" s="84"/>
      <c r="K49" s="84"/>
      <c r="L49" s="84"/>
      <c r="M49" s="84"/>
      <c r="N49" s="84"/>
      <c r="O49"/>
      <c r="P49" s="190"/>
      <c r="Q49" s="190"/>
      <c r="R49" s="197"/>
      <c r="S49" s="190"/>
      <c r="T49" s="190"/>
      <c r="U49"/>
      <c r="V49" s="85"/>
      <c r="W49" s="85"/>
      <c r="X49" s="85"/>
      <c r="Y49" s="85"/>
      <c r="Z49" s="85"/>
      <c r="AA49" s="84">
        <v>0</v>
      </c>
      <c r="AB49"/>
      <c r="AC49" s="85"/>
      <c r="AD49" s="85"/>
      <c r="AE49" s="85"/>
      <c r="AF49" s="85"/>
      <c r="AG49" s="84">
        <v>0</v>
      </c>
      <c r="AH49"/>
      <c r="AI49" s="84">
        <v>0</v>
      </c>
      <c r="AJ49" s="84">
        <v>40000</v>
      </c>
      <c r="AK49" s="84">
        <v>0</v>
      </c>
      <c r="AL49" s="84">
        <v>0</v>
      </c>
      <c r="AM49" s="84">
        <v>0</v>
      </c>
      <c r="AN49" s="84">
        <v>0</v>
      </c>
      <c r="AO49" s="84">
        <v>0</v>
      </c>
      <c r="AP49" s="239"/>
    </row>
    <row r="50" spans="1:42" s="27" customFormat="1" ht="16.5" customHeight="1" x14ac:dyDescent="0.25">
      <c r="A50" s="14"/>
      <c r="B50" s="259">
        <f t="shared" si="8"/>
        <v>34</v>
      </c>
      <c r="D50" s="84"/>
      <c r="E50" s="84"/>
      <c r="F50" s="84"/>
      <c r="G50" s="84"/>
      <c r="H50" s="84"/>
      <c r="I50"/>
      <c r="J50" s="84"/>
      <c r="K50" s="84"/>
      <c r="L50" s="84"/>
      <c r="M50" s="84"/>
      <c r="N50" s="84"/>
      <c r="O50"/>
      <c r="P50" s="190"/>
      <c r="Q50" s="190"/>
      <c r="R50" s="190"/>
      <c r="S50" s="190"/>
      <c r="T50" s="190"/>
      <c r="U50"/>
      <c r="V50" s="85"/>
      <c r="W50" s="85"/>
      <c r="X50" s="85"/>
      <c r="Y50" s="85"/>
      <c r="Z50" s="85"/>
      <c r="AA50" s="84">
        <v>0</v>
      </c>
      <c r="AB50"/>
      <c r="AC50" s="85"/>
      <c r="AD50" s="85"/>
      <c r="AE50" s="85"/>
      <c r="AF50" s="85"/>
      <c r="AG50" s="84">
        <v>0</v>
      </c>
      <c r="AH50"/>
      <c r="AI50" s="84">
        <v>0</v>
      </c>
      <c r="AJ50" s="84">
        <v>0</v>
      </c>
      <c r="AK50" s="84">
        <v>0</v>
      </c>
      <c r="AL50" s="84">
        <v>0</v>
      </c>
      <c r="AM50" s="84">
        <v>0</v>
      </c>
      <c r="AN50" s="84">
        <v>0</v>
      </c>
      <c r="AO50" s="84">
        <v>0</v>
      </c>
      <c r="AP50" s="239"/>
    </row>
    <row r="51" spans="1:42" s="27" customFormat="1" ht="16.5" customHeight="1" x14ac:dyDescent="0.25">
      <c r="A51" s="14"/>
      <c r="B51" s="259">
        <f t="shared" si="8"/>
        <v>35</v>
      </c>
      <c r="D51" s="84"/>
      <c r="E51" s="84"/>
      <c r="F51" s="84"/>
      <c r="G51" s="84"/>
      <c r="H51" s="84"/>
      <c r="I51"/>
      <c r="J51" s="84"/>
      <c r="K51" s="84"/>
      <c r="L51" s="84"/>
      <c r="M51" s="84"/>
      <c r="N51" s="84"/>
      <c r="O51"/>
      <c r="P51" s="190"/>
      <c r="Q51" s="190"/>
      <c r="R51" s="190"/>
      <c r="S51" s="190"/>
      <c r="T51" s="190"/>
      <c r="U51"/>
      <c r="V51" s="85"/>
      <c r="W51" s="85"/>
      <c r="X51" s="85"/>
      <c r="Y51" s="85"/>
      <c r="Z51" s="85"/>
      <c r="AA51" s="84">
        <v>0</v>
      </c>
      <c r="AB51"/>
      <c r="AC51" s="85"/>
      <c r="AD51" s="85"/>
      <c r="AE51" s="85"/>
      <c r="AF51" s="85"/>
      <c r="AG51" s="84">
        <v>0</v>
      </c>
      <c r="AH51"/>
      <c r="AI51" s="84">
        <v>0</v>
      </c>
      <c r="AJ51" s="84">
        <v>120000</v>
      </c>
      <c r="AK51" s="84">
        <v>0</v>
      </c>
      <c r="AL51" s="84">
        <v>0</v>
      </c>
      <c r="AM51" s="84">
        <v>0</v>
      </c>
      <c r="AN51" s="84">
        <v>0</v>
      </c>
      <c r="AO51" s="84">
        <v>8400</v>
      </c>
      <c r="AP51" s="239"/>
    </row>
    <row r="52" spans="1:42" s="27" customFormat="1" ht="16.5" customHeight="1" x14ac:dyDescent="0.25">
      <c r="A52" s="14"/>
      <c r="B52" s="259">
        <f t="shared" si="8"/>
        <v>36</v>
      </c>
      <c r="D52" s="84"/>
      <c r="E52" s="84"/>
      <c r="F52" s="84"/>
      <c r="G52" s="84"/>
      <c r="H52" s="84"/>
      <c r="I52"/>
      <c r="J52" s="84"/>
      <c r="K52" s="84"/>
      <c r="L52" s="84"/>
      <c r="M52" s="84"/>
      <c r="N52" s="84"/>
      <c r="O52"/>
      <c r="P52" s="192"/>
      <c r="Q52" s="192"/>
      <c r="R52" s="192"/>
      <c r="S52" s="192"/>
      <c r="T52" s="192"/>
      <c r="U52"/>
      <c r="V52" s="85"/>
      <c r="W52" s="85"/>
      <c r="X52" s="85"/>
      <c r="Y52" s="85"/>
      <c r="Z52" s="85"/>
      <c r="AA52" s="84">
        <v>0</v>
      </c>
      <c r="AB52"/>
      <c r="AC52" s="85"/>
      <c r="AD52" s="85"/>
      <c r="AE52" s="85"/>
      <c r="AF52" s="85"/>
      <c r="AG52" s="84">
        <v>0</v>
      </c>
      <c r="AH52"/>
      <c r="AI52" s="84">
        <v>0</v>
      </c>
      <c r="AJ52" s="84">
        <v>0</v>
      </c>
      <c r="AK52" s="84">
        <v>0</v>
      </c>
      <c r="AL52" s="84">
        <v>0</v>
      </c>
      <c r="AM52" s="84">
        <v>0</v>
      </c>
      <c r="AN52" s="84">
        <v>29403</v>
      </c>
      <c r="AO52" s="84">
        <v>0</v>
      </c>
      <c r="AP52" s="239"/>
    </row>
    <row r="53" spans="1:42" s="27" customFormat="1" ht="16.5" customHeight="1" x14ac:dyDescent="0.25">
      <c r="A53" s="14"/>
      <c r="B53" s="259">
        <f t="shared" si="8"/>
        <v>37</v>
      </c>
      <c r="D53" s="84"/>
      <c r="E53" s="84"/>
      <c r="F53" s="84"/>
      <c r="G53" s="84"/>
      <c r="H53" s="84"/>
      <c r="I53"/>
      <c r="J53" s="84"/>
      <c r="K53" s="84"/>
      <c r="L53" s="84"/>
      <c r="M53" s="84"/>
      <c r="N53" s="84"/>
      <c r="O53"/>
      <c r="P53" s="84"/>
      <c r="Q53" s="84"/>
      <c r="R53" s="84"/>
      <c r="S53" s="84"/>
      <c r="T53" s="84"/>
      <c r="U53"/>
      <c r="V53" s="85"/>
      <c r="W53" s="85"/>
      <c r="X53" s="85"/>
      <c r="Y53" s="236">
        <v>90000</v>
      </c>
      <c r="Z53" s="85"/>
      <c r="AA53" s="84">
        <v>0</v>
      </c>
      <c r="AB53"/>
      <c r="AC53" s="85"/>
      <c r="AD53" s="85"/>
      <c r="AE53" s="85"/>
      <c r="AF53" s="236"/>
      <c r="AG53" s="84">
        <v>0</v>
      </c>
      <c r="AH53"/>
      <c r="AI53" s="84">
        <v>90000</v>
      </c>
      <c r="AJ53" s="84">
        <v>0</v>
      </c>
      <c r="AK53" s="84">
        <v>0</v>
      </c>
      <c r="AL53" s="84">
        <v>0</v>
      </c>
      <c r="AM53" s="84">
        <v>0</v>
      </c>
      <c r="AN53" s="84">
        <v>0</v>
      </c>
      <c r="AO53" s="84">
        <v>0</v>
      </c>
      <c r="AP53" s="239"/>
    </row>
    <row r="54" spans="1:42" s="27" customFormat="1" ht="16.5" customHeight="1" x14ac:dyDescent="0.25">
      <c r="A54" s="14"/>
      <c r="B54" s="259">
        <f t="shared" si="8"/>
        <v>38</v>
      </c>
      <c r="D54" s="84"/>
      <c r="E54" s="84"/>
      <c r="F54" s="84"/>
      <c r="G54" s="84"/>
      <c r="H54" s="84"/>
      <c r="I54"/>
      <c r="J54" s="84"/>
      <c r="K54" s="84"/>
      <c r="L54" s="84"/>
      <c r="M54" s="84"/>
      <c r="N54" s="84"/>
      <c r="O54"/>
      <c r="P54" s="84"/>
      <c r="Q54" s="84"/>
      <c r="R54" s="84"/>
      <c r="S54" s="84"/>
      <c r="T54" s="84"/>
      <c r="U54"/>
      <c r="V54" s="85"/>
      <c r="W54" s="85"/>
      <c r="X54" s="85"/>
      <c r="Y54" s="85"/>
      <c r="Z54" s="85"/>
      <c r="AA54" s="84">
        <v>0</v>
      </c>
      <c r="AB54"/>
      <c r="AC54" s="85"/>
      <c r="AD54" s="85"/>
      <c r="AE54" s="85"/>
      <c r="AF54" s="84">
        <v>73000</v>
      </c>
      <c r="AG54" s="84">
        <v>0</v>
      </c>
      <c r="AH54"/>
      <c r="AI54" s="84">
        <v>0</v>
      </c>
      <c r="AJ54" s="84">
        <v>0</v>
      </c>
      <c r="AK54" s="84">
        <v>0</v>
      </c>
      <c r="AL54" s="84">
        <v>0</v>
      </c>
      <c r="AM54" s="84">
        <v>0</v>
      </c>
      <c r="AN54" s="84">
        <v>0</v>
      </c>
      <c r="AO54" s="84">
        <v>0</v>
      </c>
      <c r="AP54" s="239"/>
    </row>
    <row r="55" spans="1:42" s="27" customFormat="1" ht="16.5" customHeight="1" x14ac:dyDescent="0.25">
      <c r="A55" s="14"/>
      <c r="B55" s="259">
        <f t="shared" si="8"/>
        <v>39</v>
      </c>
      <c r="D55" s="84"/>
      <c r="E55" s="84"/>
      <c r="F55" s="84"/>
      <c r="G55" s="84"/>
      <c r="H55" s="84"/>
      <c r="I55"/>
      <c r="J55" s="84"/>
      <c r="K55" s="84"/>
      <c r="L55" s="84"/>
      <c r="M55" s="84"/>
      <c r="N55" s="84"/>
      <c r="O55"/>
      <c r="P55" s="126"/>
      <c r="Q55" s="126"/>
      <c r="R55" s="126"/>
      <c r="S55" s="126"/>
      <c r="T55" s="126"/>
      <c r="U55"/>
      <c r="V55" s="85"/>
      <c r="W55" s="85"/>
      <c r="X55" s="85"/>
      <c r="Y55" s="85"/>
      <c r="Z55" s="85"/>
      <c r="AA55" s="84">
        <v>0</v>
      </c>
      <c r="AB55"/>
      <c r="AC55" s="85"/>
      <c r="AD55" s="85"/>
      <c r="AE55" s="85"/>
      <c r="AF55" s="85"/>
      <c r="AG55" s="84">
        <v>0</v>
      </c>
      <c r="AH55"/>
      <c r="AI55" s="84">
        <v>0</v>
      </c>
      <c r="AJ55" s="84">
        <v>0</v>
      </c>
      <c r="AK55" s="84">
        <v>0</v>
      </c>
      <c r="AL55" s="96">
        <v>90000</v>
      </c>
      <c r="AM55" s="84">
        <v>0</v>
      </c>
      <c r="AN55" s="84">
        <v>0</v>
      </c>
      <c r="AO55" s="84">
        <v>0</v>
      </c>
      <c r="AP55" s="239"/>
    </row>
    <row r="56" spans="1:42" s="27" customFormat="1" ht="16.5" customHeight="1" x14ac:dyDescent="0.25">
      <c r="A56" s="14"/>
      <c r="B56" s="18"/>
      <c r="D56" s="84"/>
      <c r="E56" s="84"/>
      <c r="F56" s="84"/>
      <c r="G56" s="84"/>
      <c r="H56" s="84"/>
      <c r="I56"/>
      <c r="J56" s="84"/>
      <c r="K56" s="84"/>
      <c r="L56" s="84"/>
      <c r="M56" s="84"/>
      <c r="N56" s="84"/>
      <c r="O56"/>
      <c r="P56" s="84"/>
      <c r="Q56" s="84"/>
      <c r="R56" s="84"/>
      <c r="S56" s="84"/>
      <c r="T56" s="84"/>
      <c r="U56"/>
      <c r="V56" s="85"/>
      <c r="W56" s="85"/>
      <c r="X56" s="85"/>
      <c r="Y56" s="85"/>
      <c r="Z56" s="85"/>
      <c r="AA56" s="84"/>
      <c r="AB56"/>
      <c r="AC56" s="85"/>
      <c r="AD56" s="85"/>
      <c r="AE56" s="85"/>
      <c r="AF56" s="85"/>
      <c r="AG56" s="84"/>
      <c r="AH56"/>
      <c r="AI56" s="84"/>
      <c r="AJ56" s="84"/>
      <c r="AK56" s="84"/>
      <c r="AL56" s="84"/>
      <c r="AM56" s="84"/>
      <c r="AN56" s="84"/>
      <c r="AO56" s="84"/>
      <c r="AP56" s="128"/>
    </row>
    <row r="57" spans="1:42" s="27" customFormat="1" ht="16.5" customHeight="1" x14ac:dyDescent="0.25">
      <c r="A57" s="14"/>
      <c r="B57" s="76" t="s">
        <v>42</v>
      </c>
      <c r="D57" s="84"/>
      <c r="E57" s="84"/>
      <c r="F57" s="84"/>
      <c r="G57" s="84"/>
      <c r="H57" s="84"/>
      <c r="I57"/>
      <c r="J57" s="84"/>
      <c r="K57" s="84"/>
      <c r="L57" s="84"/>
      <c r="M57" s="84"/>
      <c r="N57" s="84"/>
      <c r="O57"/>
      <c r="P57" s="84"/>
      <c r="Q57" s="84"/>
      <c r="R57" s="84"/>
      <c r="S57" s="84"/>
      <c r="T57" s="84"/>
      <c r="U57"/>
      <c r="V57" s="85"/>
      <c r="W57" s="85"/>
      <c r="X57" s="85"/>
      <c r="Y57" s="85"/>
      <c r="Z57" s="85"/>
      <c r="AA57" s="84">
        <v>0</v>
      </c>
      <c r="AB57"/>
      <c r="AC57" s="85"/>
      <c r="AD57" s="85"/>
      <c r="AE57" s="85"/>
      <c r="AF57" s="85"/>
      <c r="AG57" s="84"/>
      <c r="AH57"/>
      <c r="AI57" s="84"/>
      <c r="AJ57" s="84"/>
      <c r="AK57" s="84"/>
      <c r="AL57" s="84"/>
      <c r="AM57" s="84">
        <v>-150000</v>
      </c>
      <c r="AN57" s="84"/>
      <c r="AO57" s="84">
        <v>-31000</v>
      </c>
      <c r="AP57" s="239"/>
    </row>
    <row r="58" spans="1:42" s="27" customFormat="1" ht="16.5" customHeight="1" x14ac:dyDescent="0.25">
      <c r="A58" s="75"/>
      <c r="B58" s="76" t="s">
        <v>43</v>
      </c>
      <c r="D58" s="84"/>
      <c r="E58" s="84"/>
      <c r="F58" s="84"/>
      <c r="G58" s="84"/>
      <c r="H58" s="84"/>
      <c r="I58"/>
      <c r="J58" s="84"/>
      <c r="K58" s="84"/>
      <c r="L58" s="84"/>
      <c r="M58" s="84"/>
      <c r="N58" s="84"/>
      <c r="O58"/>
      <c r="P58" s="84"/>
      <c r="Q58" s="84"/>
      <c r="R58" s="84"/>
      <c r="S58" s="84"/>
      <c r="T58" s="84"/>
      <c r="U58"/>
      <c r="V58" s="85"/>
      <c r="W58" s="85"/>
      <c r="X58" s="85"/>
      <c r="Y58" s="85"/>
      <c r="Z58" s="85"/>
      <c r="AA58" s="84"/>
      <c r="AB58"/>
      <c r="AC58" s="85"/>
      <c r="AD58" s="85"/>
      <c r="AE58" s="85"/>
      <c r="AF58" s="85"/>
      <c r="AG58" s="84">
        <v>0</v>
      </c>
      <c r="AH58"/>
      <c r="AI58" s="84"/>
      <c r="AJ58" s="84"/>
      <c r="AK58" s="84">
        <v>20000</v>
      </c>
      <c r="AL58" s="84">
        <v>15000</v>
      </c>
      <c r="AM58" s="84"/>
      <c r="AN58" s="84">
        <v>53000</v>
      </c>
      <c r="AO58" s="84"/>
      <c r="AP58" s="239"/>
    </row>
    <row r="59" spans="1:42" s="27" customFormat="1" ht="16.5" customHeight="1" x14ac:dyDescent="0.25">
      <c r="A59" s="75"/>
      <c r="B59" s="76" t="s">
        <v>44</v>
      </c>
      <c r="D59" s="84"/>
      <c r="E59" s="84"/>
      <c r="F59" s="84"/>
      <c r="G59" s="84"/>
      <c r="H59" s="84"/>
      <c r="I59"/>
      <c r="J59" s="84"/>
      <c r="K59" s="84"/>
      <c r="L59" s="84"/>
      <c r="M59" s="84"/>
      <c r="N59" s="84"/>
      <c r="O59"/>
      <c r="P59" s="84"/>
      <c r="Q59" s="84"/>
      <c r="R59" s="84"/>
      <c r="S59" s="84"/>
      <c r="T59" s="84"/>
      <c r="U59"/>
      <c r="V59" s="85"/>
      <c r="W59" s="85"/>
      <c r="X59" s="85"/>
      <c r="Y59" s="85"/>
      <c r="Z59" s="85"/>
      <c r="AA59" s="84"/>
      <c r="AB59"/>
      <c r="AC59" s="85"/>
      <c r="AD59" s="85"/>
      <c r="AE59" s="85"/>
      <c r="AF59" s="85"/>
      <c r="AG59" s="126"/>
      <c r="AH59"/>
      <c r="AI59" s="84">
        <v>0</v>
      </c>
      <c r="AJ59" s="84">
        <f>25000+30000</f>
        <v>55000</v>
      </c>
      <c r="AK59" s="84"/>
      <c r="AL59" s="84"/>
      <c r="AM59" s="84">
        <v>30000</v>
      </c>
      <c r="AN59" s="84">
        <v>0</v>
      </c>
      <c r="AO59" s="84"/>
      <c r="AP59" s="239"/>
    </row>
    <row r="60" spans="1:42" s="27" customFormat="1" ht="16.5" customHeight="1" x14ac:dyDescent="0.25">
      <c r="A60" s="75"/>
      <c r="B60" s="15"/>
      <c r="D60" s="85"/>
      <c r="E60" s="85"/>
      <c r="F60" s="85"/>
      <c r="G60" s="85"/>
      <c r="H60" s="85"/>
      <c r="I60"/>
      <c r="J60" s="85"/>
      <c r="K60" s="85"/>
      <c r="L60" s="85"/>
      <c r="M60" s="85"/>
      <c r="N60" s="85"/>
      <c r="O60"/>
      <c r="P60" s="85"/>
      <c r="Q60" s="85"/>
      <c r="R60" s="85"/>
      <c r="S60" s="85"/>
      <c r="T60" s="85"/>
      <c r="U60"/>
      <c r="V60" s="85"/>
      <c r="W60" s="85"/>
      <c r="X60" s="85"/>
      <c r="Y60" s="85"/>
      <c r="Z60" s="85"/>
      <c r="AA60" s="85"/>
      <c r="AB60"/>
      <c r="AC60" s="85"/>
      <c r="AD60" s="85"/>
      <c r="AE60" s="85"/>
      <c r="AF60" s="85"/>
      <c r="AG60" s="85"/>
      <c r="AH60"/>
      <c r="AI60" s="85"/>
      <c r="AJ60" s="85"/>
      <c r="AK60" s="85"/>
      <c r="AL60" s="85"/>
      <c r="AM60" s="85"/>
      <c r="AN60" s="85"/>
      <c r="AO60" s="85"/>
      <c r="AP60" s="137"/>
    </row>
    <row r="61" spans="1:42" s="27" customFormat="1" ht="16.5" customHeight="1" x14ac:dyDescent="0.25">
      <c r="A61" s="14"/>
      <c r="B61" s="15" t="s">
        <v>45</v>
      </c>
      <c r="D61" s="85"/>
      <c r="E61" s="164"/>
      <c r="F61" s="168">
        <v>35000.43</v>
      </c>
      <c r="G61" s="91"/>
      <c r="H61" s="168">
        <f>SUM(D61:G61)</f>
        <v>35000.43</v>
      </c>
      <c r="I61"/>
      <c r="J61" s="168">
        <v>8.99</v>
      </c>
      <c r="K61" s="85"/>
      <c r="L61" s="85"/>
      <c r="M61" s="168">
        <v>8.68</v>
      </c>
      <c r="N61" s="168">
        <f>SUM(J61:M61)</f>
        <v>17.670000000000002</v>
      </c>
      <c r="O61"/>
      <c r="P61" s="85"/>
      <c r="Q61" s="85"/>
      <c r="R61" s="85"/>
      <c r="S61" s="85"/>
      <c r="T61" s="85"/>
      <c r="U61"/>
      <c r="V61" s="85"/>
      <c r="W61" s="85"/>
      <c r="X61" s="85"/>
      <c r="Y61" s="85"/>
      <c r="Z61" s="85"/>
      <c r="AA61" s="85"/>
      <c r="AB61"/>
      <c r="AC61" s="85"/>
      <c r="AD61" s="85"/>
      <c r="AE61" s="85"/>
      <c r="AF61" s="85"/>
      <c r="AG61" s="85"/>
      <c r="AH61"/>
      <c r="AI61" s="85"/>
      <c r="AJ61" s="85"/>
      <c r="AK61" s="85"/>
      <c r="AL61" s="85"/>
      <c r="AM61" s="85"/>
      <c r="AN61" s="85"/>
      <c r="AO61" s="85"/>
      <c r="AP61" s="135"/>
    </row>
    <row r="62" spans="1:42" s="27" customFormat="1" ht="16.5" customHeight="1" x14ac:dyDescent="0.25">
      <c r="A62" s="14"/>
      <c r="B62" s="15"/>
      <c r="D62" s="85"/>
      <c r="E62" s="85"/>
      <c r="F62" s="158"/>
      <c r="G62" s="89"/>
      <c r="H62" s="168"/>
      <c r="I62"/>
      <c r="J62" s="85"/>
      <c r="K62" s="85"/>
      <c r="L62" s="85"/>
      <c r="M62" s="89"/>
      <c r="N62" s="85"/>
      <c r="O62"/>
      <c r="P62" s="89"/>
      <c r="Q62" s="85"/>
      <c r="R62" s="85"/>
      <c r="S62" s="85"/>
      <c r="T62" s="85"/>
      <c r="U62"/>
      <c r="V62" s="85"/>
      <c r="W62" s="85"/>
      <c r="X62" s="85"/>
      <c r="Y62" s="85"/>
      <c r="Z62" s="85"/>
      <c r="AA62" s="85"/>
      <c r="AB62"/>
      <c r="AC62" s="85"/>
      <c r="AD62" s="85"/>
      <c r="AE62" s="85"/>
      <c r="AF62" s="85"/>
      <c r="AG62" s="85"/>
      <c r="AH62"/>
      <c r="AI62" s="85"/>
      <c r="AJ62" s="85"/>
      <c r="AK62" s="85"/>
      <c r="AL62" s="85"/>
      <c r="AM62" s="85"/>
      <c r="AN62" s="85"/>
      <c r="AO62" s="85"/>
      <c r="AP62" s="135"/>
    </row>
    <row r="63" spans="1:42" s="27" customFormat="1" ht="16.5" customHeight="1" x14ac:dyDescent="0.25">
      <c r="A63" s="14"/>
      <c r="B63" s="15" t="s">
        <v>46</v>
      </c>
      <c r="D63" s="84"/>
      <c r="E63" s="84"/>
      <c r="F63" s="84"/>
      <c r="G63" s="168">
        <f>-343.67</f>
        <v>-343.67</v>
      </c>
      <c r="H63" s="168">
        <f>SUM(D63:G63)</f>
        <v>-343.67</v>
      </c>
      <c r="I63"/>
      <c r="J63" s="84"/>
      <c r="K63" s="84"/>
      <c r="L63" s="84"/>
      <c r="M63" s="168">
        <f>-352.61</f>
        <v>-352.61</v>
      </c>
      <c r="N63" s="168">
        <f>SUM(J63:M63)</f>
        <v>-352.61</v>
      </c>
      <c r="O63"/>
      <c r="P63" s="160"/>
      <c r="Q63" s="84"/>
      <c r="R63" s="84"/>
      <c r="S63" s="84">
        <v>-350</v>
      </c>
      <c r="T63" s="126"/>
      <c r="U63"/>
      <c r="V63" s="85"/>
      <c r="W63" s="85"/>
      <c r="X63" s="85"/>
      <c r="Y63" s="85"/>
      <c r="Z63" s="84">
        <v>-350</v>
      </c>
      <c r="AA63" s="85"/>
      <c r="AB63"/>
      <c r="AC63" s="85"/>
      <c r="AD63" s="85"/>
      <c r="AE63" s="85"/>
      <c r="AF63" s="84">
        <v>-350</v>
      </c>
      <c r="AG63" s="85"/>
      <c r="AH63"/>
      <c r="AI63" s="84">
        <v>-350</v>
      </c>
      <c r="AJ63" s="84">
        <v>-350</v>
      </c>
      <c r="AK63" s="84">
        <v>-350</v>
      </c>
      <c r="AL63" s="84">
        <v>-350</v>
      </c>
      <c r="AM63" s="84">
        <v>-350</v>
      </c>
      <c r="AN63" s="84">
        <v>-350</v>
      </c>
      <c r="AO63" s="84">
        <v>-350</v>
      </c>
      <c r="AP63" s="239"/>
    </row>
    <row r="64" spans="1:42" s="27" customFormat="1" ht="16.5" customHeight="1" x14ac:dyDescent="0.25">
      <c r="A64" s="14"/>
      <c r="B64" s="15"/>
      <c r="D64" s="85"/>
      <c r="E64" s="85"/>
      <c r="F64" s="85"/>
      <c r="G64" s="89"/>
      <c r="H64" s="85"/>
      <c r="I64"/>
      <c r="J64" s="85"/>
      <c r="K64" s="85"/>
      <c r="L64" s="85"/>
      <c r="M64" s="89"/>
      <c r="N64" s="85"/>
      <c r="O64"/>
      <c r="P64" s="89"/>
      <c r="Q64" s="85"/>
      <c r="R64" s="85"/>
      <c r="S64" s="85"/>
      <c r="T64" s="126"/>
      <c r="U64"/>
      <c r="V64" s="85"/>
      <c r="W64" s="85"/>
      <c r="X64" s="85"/>
      <c r="Y64" s="85"/>
      <c r="Z64" s="85"/>
      <c r="AA64" s="85"/>
      <c r="AB64"/>
      <c r="AC64" s="85"/>
      <c r="AD64" s="85"/>
      <c r="AE64" s="85"/>
      <c r="AF64" s="85"/>
      <c r="AG64" s="85"/>
      <c r="AH64"/>
      <c r="AI64" s="85"/>
      <c r="AJ64" s="85"/>
      <c r="AK64" s="85"/>
      <c r="AL64" s="85"/>
      <c r="AM64" s="85"/>
      <c r="AN64" s="85"/>
      <c r="AO64" s="85"/>
      <c r="AP64" s="135"/>
    </row>
    <row r="65" spans="1:89" s="27" customFormat="1" ht="16.5" customHeight="1" x14ac:dyDescent="0.25">
      <c r="A65" s="14"/>
      <c r="B65" s="15" t="s">
        <v>79</v>
      </c>
      <c r="D65" s="85"/>
      <c r="E65" s="85"/>
      <c r="F65" s="85"/>
      <c r="G65" s="85"/>
      <c r="H65" s="85"/>
      <c r="I65"/>
      <c r="J65" s="85"/>
      <c r="K65" s="85"/>
      <c r="L65" s="85"/>
      <c r="M65" s="85"/>
      <c r="N65" s="85"/>
      <c r="O65"/>
      <c r="P65" s="85"/>
      <c r="Q65" s="85"/>
      <c r="R65" s="85"/>
      <c r="S65" s="85"/>
      <c r="T65" s="126"/>
      <c r="U65"/>
      <c r="V65" s="85"/>
      <c r="W65" s="85"/>
      <c r="X65" s="85"/>
      <c r="Y65" s="85"/>
      <c r="Z65" s="85"/>
      <c r="AA65" s="85"/>
      <c r="AB65"/>
      <c r="AC65" s="85"/>
      <c r="AD65" s="85">
        <v>500000</v>
      </c>
      <c r="AF65" s="85"/>
      <c r="AG65" s="85"/>
      <c r="AH65"/>
      <c r="AI65" s="85"/>
      <c r="AJ65" s="85"/>
      <c r="AK65" s="85"/>
      <c r="AL65" s="85"/>
      <c r="AM65" s="85"/>
      <c r="AN65" s="85"/>
      <c r="AO65" s="85"/>
      <c r="AP65" s="135"/>
    </row>
    <row r="66" spans="1:89" s="27" customFormat="1" ht="16.5" customHeight="1" x14ac:dyDescent="0.25">
      <c r="A66" s="14"/>
      <c r="B66" s="15"/>
      <c r="D66" s="85"/>
      <c r="E66" s="85"/>
      <c r="F66" s="85"/>
      <c r="G66" s="85"/>
      <c r="H66" s="85"/>
      <c r="I66"/>
      <c r="J66" s="85"/>
      <c r="K66" s="85"/>
      <c r="L66" s="85"/>
      <c r="M66" s="85"/>
      <c r="N66" s="85"/>
      <c r="O66"/>
      <c r="P66" s="85"/>
      <c r="Q66" s="85"/>
      <c r="R66" s="85"/>
      <c r="S66" s="85"/>
      <c r="T66" s="126"/>
      <c r="U66"/>
      <c r="V66" s="85"/>
      <c r="W66" s="85"/>
      <c r="X66" s="85"/>
      <c r="Y66" s="85"/>
      <c r="Z66" s="85"/>
      <c r="AA66" s="85"/>
      <c r="AB66"/>
      <c r="AC66" s="85"/>
      <c r="AD66" s="85"/>
      <c r="AE66" s="85"/>
      <c r="AF66" s="85"/>
      <c r="AG66" s="85"/>
      <c r="AH66"/>
      <c r="AI66" s="85"/>
      <c r="AJ66" s="85"/>
      <c r="AK66" s="85"/>
      <c r="AL66" s="85"/>
      <c r="AM66" s="85"/>
      <c r="AN66" s="85"/>
      <c r="AO66" s="85"/>
      <c r="AP66" s="135"/>
    </row>
    <row r="67" spans="1:89" s="27" customFormat="1" ht="16.5" customHeight="1" x14ac:dyDescent="0.25">
      <c r="A67" s="14"/>
      <c r="B67" s="15" t="s">
        <v>80</v>
      </c>
      <c r="D67" s="85"/>
      <c r="E67" s="85"/>
      <c r="F67" s="85"/>
      <c r="G67" s="85"/>
      <c r="H67" s="85"/>
      <c r="I67"/>
      <c r="J67" s="85"/>
      <c r="K67" s="85"/>
      <c r="L67" s="85"/>
      <c r="N67" s="126"/>
      <c r="O67"/>
      <c r="P67" s="85"/>
      <c r="Q67" s="85">
        <v>150000</v>
      </c>
      <c r="R67" s="85">
        <v>30000</v>
      </c>
      <c r="S67" s="223"/>
      <c r="T67" s="126"/>
      <c r="U67"/>
      <c r="V67" s="85"/>
      <c r="W67" s="85"/>
      <c r="X67" s="85"/>
      <c r="Y67" s="85"/>
      <c r="Z67" s="85">
        <v>250000</v>
      </c>
      <c r="AA67" s="85"/>
      <c r="AB67"/>
      <c r="AC67" s="85"/>
      <c r="AD67" s="85"/>
      <c r="AE67" s="85"/>
      <c r="AF67" s="85"/>
      <c r="AG67" s="126"/>
      <c r="AH67"/>
      <c r="AI67" s="85"/>
      <c r="AJ67" s="85"/>
      <c r="AK67" s="85"/>
      <c r="AL67" s="85"/>
      <c r="AM67" s="85"/>
      <c r="AN67" s="85"/>
      <c r="AO67" s="85"/>
      <c r="AP67" s="239"/>
    </row>
    <row r="68" spans="1:89" s="27" customFormat="1" ht="16.5" customHeight="1" x14ac:dyDescent="0.25">
      <c r="A68" s="14"/>
      <c r="B68" s="71"/>
      <c r="D68" s="85"/>
      <c r="E68" s="85"/>
      <c r="F68" s="85"/>
      <c r="G68" s="85"/>
      <c r="H68" s="85"/>
      <c r="I68"/>
      <c r="J68" s="85"/>
      <c r="K68" s="85"/>
      <c r="L68" s="85"/>
      <c r="M68" s="85"/>
      <c r="N68" s="85"/>
      <c r="O68"/>
      <c r="P68" s="85"/>
      <c r="Q68" s="85"/>
      <c r="R68" s="85"/>
      <c r="S68" s="85"/>
      <c r="T68" s="85"/>
      <c r="U68"/>
      <c r="V68" s="85"/>
      <c r="W68" s="85"/>
      <c r="X68" s="85"/>
      <c r="Y68" s="85"/>
      <c r="Z68" s="85"/>
      <c r="AA68" s="85"/>
      <c r="AB68"/>
      <c r="AC68" s="85"/>
      <c r="AD68" s="85"/>
      <c r="AE68" s="85"/>
      <c r="AF68" s="85"/>
      <c r="AG68" s="85"/>
      <c r="AH68"/>
      <c r="AI68" s="85"/>
      <c r="AJ68" s="85"/>
      <c r="AK68" s="85"/>
      <c r="AL68" s="85"/>
      <c r="AM68" s="85"/>
      <c r="AN68" s="85"/>
      <c r="AO68" s="85"/>
      <c r="AP68" s="135"/>
    </row>
    <row r="69" spans="1:89" s="27" customFormat="1" ht="16.5" customHeight="1" x14ac:dyDescent="0.25">
      <c r="A69" s="14"/>
      <c r="B69" s="72"/>
      <c r="D69" s="85"/>
      <c r="E69" s="85"/>
      <c r="F69" s="85"/>
      <c r="G69" s="85"/>
      <c r="H69" s="85"/>
      <c r="I69"/>
      <c r="J69" s="85"/>
      <c r="K69" s="85"/>
      <c r="L69" s="85"/>
      <c r="M69" s="85"/>
      <c r="N69" s="85"/>
      <c r="O69"/>
      <c r="P69" s="85"/>
      <c r="Q69" s="85"/>
      <c r="R69" s="85"/>
      <c r="S69" s="85"/>
      <c r="T69" s="85"/>
      <c r="U69"/>
      <c r="V69" s="85"/>
      <c r="W69" s="85"/>
      <c r="X69" s="85"/>
      <c r="Y69" s="85"/>
      <c r="Z69" s="85"/>
      <c r="AA69" s="85"/>
      <c r="AB69"/>
      <c r="AC69" s="85"/>
      <c r="AD69" s="85"/>
      <c r="AE69" s="85"/>
      <c r="AF69" s="85"/>
      <c r="AG69" s="85"/>
      <c r="AH69"/>
      <c r="AI69" s="85"/>
      <c r="AJ69" s="85"/>
      <c r="AK69" s="85"/>
      <c r="AL69" s="85"/>
      <c r="AM69" s="85"/>
      <c r="AN69" s="85"/>
      <c r="AO69" s="85"/>
      <c r="AP69" s="135"/>
    </row>
    <row r="70" spans="1:89" s="27" customFormat="1" ht="16.5" customHeight="1" x14ac:dyDescent="0.25">
      <c r="A70" s="14"/>
      <c r="B70" s="15"/>
      <c r="D70" s="85"/>
      <c r="E70" s="85"/>
      <c r="F70" s="85"/>
      <c r="G70" s="85"/>
      <c r="H70" s="85"/>
      <c r="I70"/>
      <c r="J70" s="85"/>
      <c r="K70" s="85"/>
      <c r="L70" s="85"/>
      <c r="M70" s="85"/>
      <c r="N70" s="85"/>
      <c r="O70"/>
      <c r="P70" s="85"/>
      <c r="Q70" s="85"/>
      <c r="R70" s="85"/>
      <c r="S70" s="85"/>
      <c r="T70" s="85"/>
      <c r="U70"/>
      <c r="V70" s="85"/>
      <c r="W70" s="85"/>
      <c r="X70" s="85"/>
      <c r="Y70" s="85"/>
      <c r="Z70" s="85"/>
      <c r="AA70" s="85"/>
      <c r="AB70"/>
      <c r="AC70" s="85"/>
      <c r="AD70" s="85"/>
      <c r="AE70" s="85"/>
      <c r="AF70" s="85"/>
      <c r="AG70" s="85"/>
      <c r="AH70"/>
      <c r="AI70" s="85"/>
      <c r="AJ70" s="85"/>
      <c r="AK70" s="85"/>
      <c r="AL70" s="85"/>
      <c r="AM70" s="85"/>
      <c r="AN70" s="85"/>
      <c r="AO70" s="85"/>
      <c r="AP70" s="135"/>
    </row>
    <row r="71" spans="1:89" s="27" customFormat="1" ht="16.5" customHeight="1" x14ac:dyDescent="0.25">
      <c r="A71" s="14"/>
      <c r="B71" s="20" t="s">
        <v>47</v>
      </c>
      <c r="D71" s="34">
        <f>SUM(D17:D70)</f>
        <v>31000</v>
      </c>
      <c r="E71" s="34">
        <f>SUM(E17:E70)</f>
        <v>100000</v>
      </c>
      <c r="F71" s="34">
        <f>SUM(F17:F70)</f>
        <v>105000.43</v>
      </c>
      <c r="G71" s="34">
        <f>SUM(G17:G70)</f>
        <v>-343.67</v>
      </c>
      <c r="H71" s="34">
        <f>SUM(H17:H70)</f>
        <v>235656.75999999998</v>
      </c>
      <c r="I71"/>
      <c r="J71" s="34">
        <f>SUM(J17:J70)</f>
        <v>100007.99</v>
      </c>
      <c r="K71" s="34">
        <f>SUM(K17:K70)</f>
        <v>0</v>
      </c>
      <c r="L71" s="34">
        <f>SUM(L17:L70)</f>
        <v>0</v>
      </c>
      <c r="M71" s="34">
        <f>SUM(M17:M70)</f>
        <v>49656.07</v>
      </c>
      <c r="N71" s="34">
        <f>SUM(N17:N70)</f>
        <v>149664.06000000003</v>
      </c>
      <c r="O71"/>
      <c r="P71" s="34">
        <f>SUM(P17:P70)</f>
        <v>0</v>
      </c>
      <c r="Q71" s="34">
        <f>SUM(Q17:Q70)</f>
        <v>250000</v>
      </c>
      <c r="R71" s="34">
        <f>SUM(R17:R70)</f>
        <v>55000</v>
      </c>
      <c r="S71" s="34">
        <f>SUM(S17:S70)</f>
        <v>-350</v>
      </c>
      <c r="T71" s="34">
        <f>SUM(T17:T70)</f>
        <v>0</v>
      </c>
      <c r="U71"/>
      <c r="V71" s="34">
        <f t="shared" ref="V71:AA71" si="9">SUM(V17:V70)</f>
        <v>99000</v>
      </c>
      <c r="W71" s="34">
        <f t="shared" si="9"/>
        <v>0</v>
      </c>
      <c r="X71" s="34">
        <f t="shared" si="9"/>
        <v>0</v>
      </c>
      <c r="Y71" s="34">
        <f t="shared" si="9"/>
        <v>170000</v>
      </c>
      <c r="Z71" s="34">
        <f t="shared" si="9"/>
        <v>399650</v>
      </c>
      <c r="AA71" s="34">
        <f t="shared" si="9"/>
        <v>0</v>
      </c>
      <c r="AB71"/>
      <c r="AC71" s="34">
        <f>SUM(AC17:AC70)</f>
        <v>0</v>
      </c>
      <c r="AD71" s="34">
        <f>SUM(AD17:AD70)</f>
        <v>500000</v>
      </c>
      <c r="AE71" s="34">
        <f>SUM(AE17:AE70)</f>
        <v>0</v>
      </c>
      <c r="AF71" s="34">
        <f>SUM(AF17:AF70)</f>
        <v>97650</v>
      </c>
      <c r="AG71" s="34">
        <f>SUM(AG17:AG70)</f>
        <v>0</v>
      </c>
      <c r="AH71"/>
      <c r="AI71" s="34">
        <f t="shared" ref="AI71:AO71" si="10">SUM(AI17:AI70)</f>
        <v>184650</v>
      </c>
      <c r="AJ71" s="34">
        <f t="shared" si="10"/>
        <v>694650</v>
      </c>
      <c r="AK71" s="34">
        <f t="shared" si="10"/>
        <v>434650</v>
      </c>
      <c r="AL71" s="34">
        <f t="shared" si="10"/>
        <v>373150</v>
      </c>
      <c r="AM71" s="34">
        <f t="shared" si="10"/>
        <v>234650</v>
      </c>
      <c r="AN71" s="34">
        <f t="shared" si="10"/>
        <v>82053</v>
      </c>
      <c r="AO71" s="34">
        <f t="shared" si="10"/>
        <v>8050</v>
      </c>
      <c r="AP71" s="128"/>
    </row>
    <row r="72" spans="1:89" s="41" customFormat="1" ht="16.5" customHeight="1" x14ac:dyDescent="0.25">
      <c r="A72" s="150"/>
      <c r="B72" s="150" t="s">
        <v>48</v>
      </c>
      <c r="C72" s="150"/>
      <c r="D72" s="151">
        <f>SUM(D17:D59)</f>
        <v>31000</v>
      </c>
      <c r="E72" s="151">
        <f>SUM(E17:E59)</f>
        <v>100000</v>
      </c>
      <c r="F72" s="151">
        <f>SUM(F17:F59)</f>
        <v>70000</v>
      </c>
      <c r="G72" s="151">
        <f>SUM(G17:G59)</f>
        <v>0</v>
      </c>
      <c r="H72" s="151">
        <f>SUM(H17:H59)</f>
        <v>201000</v>
      </c>
      <c r="I72"/>
      <c r="J72" s="151">
        <f>SUM(J17:J59)</f>
        <v>99999</v>
      </c>
      <c r="K72" s="151">
        <f>SUM(K17:K59)</f>
        <v>0</v>
      </c>
      <c r="L72" s="151">
        <f>SUM(L17:L59)</f>
        <v>0</v>
      </c>
      <c r="M72" s="151">
        <f>SUM(M17:M59)</f>
        <v>50000</v>
      </c>
      <c r="N72" s="151">
        <f>SUM(N17:N59)</f>
        <v>149999</v>
      </c>
      <c r="O72"/>
      <c r="P72" s="151">
        <f>SUM(P17:P59)</f>
        <v>0</v>
      </c>
      <c r="Q72" s="151">
        <f>SUM(Q17:Q59)</f>
        <v>100000</v>
      </c>
      <c r="R72" s="151">
        <f>SUM(R17:R59)</f>
        <v>25000</v>
      </c>
      <c r="S72" s="151">
        <f>SUM(S17:S59)</f>
        <v>0</v>
      </c>
      <c r="T72" s="151">
        <f>SUM(T17:T59)</f>
        <v>0</v>
      </c>
      <c r="U72"/>
      <c r="V72" s="151">
        <f t="shared" ref="V72:AA72" si="11">SUM(V17:V59)</f>
        <v>99000</v>
      </c>
      <c r="W72" s="151">
        <f t="shared" si="11"/>
        <v>0</v>
      </c>
      <c r="X72" s="151">
        <f t="shared" si="11"/>
        <v>0</v>
      </c>
      <c r="Y72" s="151">
        <f t="shared" si="11"/>
        <v>170000</v>
      </c>
      <c r="Z72" s="151">
        <f t="shared" si="11"/>
        <v>150000</v>
      </c>
      <c r="AA72" s="151">
        <f t="shared" si="11"/>
        <v>0</v>
      </c>
      <c r="AB72"/>
      <c r="AC72" s="151">
        <f>SUM(AC17:AC59)</f>
        <v>0</v>
      </c>
      <c r="AD72" s="151">
        <f>SUM(AD17:AD59)</f>
        <v>0</v>
      </c>
      <c r="AE72" s="151">
        <f>SUM(AE17:AE59)</f>
        <v>0</v>
      </c>
      <c r="AF72" s="151">
        <f>SUM(AF17:AF59)</f>
        <v>98000</v>
      </c>
      <c r="AG72" s="151">
        <f>SUM(AG17:AG59)</f>
        <v>0</v>
      </c>
      <c r="AH72"/>
      <c r="AI72" s="151">
        <f t="shared" ref="AI72:AO72" si="12">SUM(AI17:AI59)</f>
        <v>185000</v>
      </c>
      <c r="AJ72" s="151">
        <f t="shared" si="12"/>
        <v>695000</v>
      </c>
      <c r="AK72" s="151">
        <f t="shared" si="12"/>
        <v>435000</v>
      </c>
      <c r="AL72" s="151">
        <f t="shared" si="12"/>
        <v>373500</v>
      </c>
      <c r="AM72" s="151">
        <f t="shared" si="12"/>
        <v>235000</v>
      </c>
      <c r="AN72" s="151">
        <f t="shared" si="12"/>
        <v>82403</v>
      </c>
      <c r="AO72" s="151">
        <f t="shared" si="12"/>
        <v>8400</v>
      </c>
      <c r="AP72" s="128"/>
    </row>
    <row r="73" spans="1:89" s="41" customFormat="1" ht="16.5" customHeight="1" x14ac:dyDescent="0.25">
      <c r="B73" s="39"/>
      <c r="D73" s="54"/>
      <c r="E73" s="54"/>
      <c r="F73" s="54"/>
      <c r="G73" s="54"/>
      <c r="H73" s="54"/>
      <c r="I73"/>
      <c r="O73"/>
      <c r="U73"/>
      <c r="V73" s="39"/>
      <c r="W73" s="39"/>
      <c r="X73" s="39"/>
      <c r="Y73" s="39"/>
      <c r="Z73" s="39"/>
      <c r="AB73"/>
      <c r="AC73" s="39"/>
      <c r="AD73" s="39"/>
      <c r="AE73" s="39"/>
      <c r="AF73" s="39"/>
      <c r="AH73"/>
      <c r="AP73" s="138"/>
    </row>
    <row r="74" spans="1:89" s="27" customFormat="1" ht="16.5" customHeight="1" x14ac:dyDescent="0.25">
      <c r="A74" s="148"/>
      <c r="B74" s="148" t="s">
        <v>49</v>
      </c>
      <c r="D74" s="34"/>
      <c r="E74" s="34"/>
      <c r="F74" s="34"/>
      <c r="G74" s="34"/>
      <c r="H74" s="34"/>
      <c r="I74"/>
      <c r="O74"/>
      <c r="U74"/>
      <c r="V74" s="5"/>
      <c r="W74" s="5"/>
      <c r="X74" s="5"/>
      <c r="Y74" s="5"/>
      <c r="Z74" s="5"/>
      <c r="AB74"/>
      <c r="AC74" s="5"/>
      <c r="AD74" s="5"/>
      <c r="AE74" s="5"/>
      <c r="AF74" s="5"/>
      <c r="AH74"/>
      <c r="AP74" s="135"/>
    </row>
    <row r="75" spans="1:89" s="27" customFormat="1" ht="16.5" customHeight="1" x14ac:dyDescent="0.25">
      <c r="B75" s="41"/>
      <c r="D75" s="34"/>
      <c r="E75" s="34"/>
      <c r="F75" s="34"/>
      <c r="G75" s="34"/>
      <c r="H75" s="34"/>
      <c r="I75"/>
      <c r="O75"/>
      <c r="U75"/>
      <c r="V75" s="5"/>
      <c r="W75" s="5"/>
      <c r="X75" s="5"/>
      <c r="Y75" s="5"/>
      <c r="Z75" s="5"/>
      <c r="AB75"/>
      <c r="AC75" s="5"/>
      <c r="AD75" s="5"/>
      <c r="AE75" s="5"/>
      <c r="AF75" s="5"/>
      <c r="AH75"/>
      <c r="AP75" s="135"/>
    </row>
    <row r="76" spans="1:89" s="27" customFormat="1" ht="16.5" customHeight="1" x14ac:dyDescent="0.25">
      <c r="A76" s="5"/>
      <c r="B76" s="79" t="s">
        <v>50</v>
      </c>
      <c r="D76" s="166"/>
      <c r="E76" s="173">
        <f>167583.57+303.44+66112.65+6502.56</f>
        <v>240502.22</v>
      </c>
      <c r="F76" s="186">
        <f>234.28</f>
        <v>234.28</v>
      </c>
      <c r="G76" s="159">
        <f>748</f>
        <v>748</v>
      </c>
      <c r="H76" s="168">
        <f>SUM(D76:G76)-60000</f>
        <v>181484.5</v>
      </c>
      <c r="I76"/>
      <c r="J76" s="159">
        <f>51.27+9.9+41.28+52.86+469.78+9681.98+735.56+349.27+356.5</f>
        <v>11748.4</v>
      </c>
      <c r="K76" s="210">
        <f>177874.23+136.79</f>
        <v>178011.02000000002</v>
      </c>
      <c r="L76" s="210">
        <f>10.58+6740.74+70898.06+342.07</f>
        <v>77991.450000000012</v>
      </c>
      <c r="M76" s="91"/>
      <c r="N76" s="168">
        <f>SUM(J76:M76)-60000</f>
        <v>207750.87</v>
      </c>
      <c r="O76"/>
      <c r="P76" s="160"/>
      <c r="Q76" s="131">
        <f>201530.67+144.15-30000</f>
        <v>171674.82</v>
      </c>
      <c r="R76" s="131">
        <f>78829.93+14.85-30000</f>
        <v>48844.78</v>
      </c>
      <c r="S76" s="126"/>
      <c r="T76" s="126"/>
      <c r="U76"/>
      <c r="V76" s="84"/>
      <c r="W76" s="85"/>
      <c r="X76" s="84">
        <f>'Payroll Detail'!I61-'Cashflow - Detail'!Y119</f>
        <v>218652.53064333333</v>
      </c>
      <c r="Y76" s="85"/>
      <c r="Z76" s="85"/>
      <c r="AA76" s="85"/>
      <c r="AB76"/>
      <c r="AC76" s="84"/>
      <c r="AD76" s="84">
        <f>'Payroll Detail'!J61-'Cashflow - Detail'!AG119</f>
        <v>225865.86397666665</v>
      </c>
      <c r="AE76" s="85"/>
      <c r="AF76" s="85"/>
      <c r="AG76" s="85"/>
      <c r="AH76"/>
      <c r="AI76" s="84">
        <f>'Payroll Detail'!K61-'Cashflow - Detail'!AI119</f>
        <v>241277.15064333333</v>
      </c>
      <c r="AJ76" s="84">
        <f>'Payroll Detail'!L61-'Cashflow - Detail'!AJ119</f>
        <v>261092.17731000006</v>
      </c>
      <c r="AK76" s="84">
        <f>'Payroll Detail'!M61-'Cashflow - Detail'!AK119</f>
        <v>268756.34397666674</v>
      </c>
      <c r="AL76" s="84">
        <f>'Payroll Detail'!N61-'Cashflow - Detail'!AL119</f>
        <v>275969.67731000012</v>
      </c>
      <c r="AM76" s="84">
        <f>'Payroll Detail'!O61-'Cashflow - Detail'!AM119</f>
        <v>270949.19731000002</v>
      </c>
      <c r="AN76" s="84">
        <f>'Payroll Detail'!P61-'Cashflow - Detail'!AN119</f>
        <v>278162.53064333339</v>
      </c>
      <c r="AO76" s="84">
        <f>'Payroll Detail'!Q61-'Cashflow - Detail'!AO119</f>
        <v>284474.19731000008</v>
      </c>
      <c r="AP76" s="239"/>
    </row>
    <row r="77" spans="1:89" s="27" customFormat="1" ht="16.5" customHeight="1" outlineLevel="1" x14ac:dyDescent="0.25">
      <c r="A77" s="78"/>
      <c r="B77" s="5"/>
      <c r="D77" s="85"/>
      <c r="E77" s="158"/>
      <c r="F77" s="158"/>
      <c r="G77" s="158"/>
      <c r="H77" s="85"/>
      <c r="I77"/>
      <c r="J77" s="85"/>
      <c r="K77" s="85"/>
      <c r="L77" s="158"/>
      <c r="M77" s="158"/>
      <c r="N77" s="85"/>
      <c r="O77"/>
      <c r="P77" s="85"/>
      <c r="Q77" s="85"/>
      <c r="R77" s="85"/>
      <c r="S77" s="85"/>
      <c r="T77" s="126"/>
      <c r="U77"/>
      <c r="V77" s="85"/>
      <c r="W77" s="85"/>
      <c r="X77" s="85"/>
      <c r="Y77" s="85"/>
      <c r="Z77" s="85"/>
      <c r="AA77" s="85"/>
      <c r="AB77"/>
      <c r="AC77" s="85"/>
      <c r="AD77" s="85"/>
      <c r="AE77" s="85"/>
      <c r="AF77" s="85"/>
      <c r="AG77" s="85"/>
      <c r="AH77"/>
      <c r="AI77" s="85"/>
      <c r="AJ77" s="85"/>
      <c r="AK77" s="85"/>
      <c r="AL77" s="85"/>
      <c r="AM77" s="85"/>
      <c r="AN77" s="85"/>
      <c r="AO77" s="85"/>
      <c r="AP77" s="239"/>
    </row>
    <row r="78" spans="1:89" s="27" customFormat="1" ht="16.5" customHeight="1" x14ac:dyDescent="0.25">
      <c r="A78" s="10"/>
      <c r="B78" s="5" t="s">
        <v>51</v>
      </c>
      <c r="D78" s="85"/>
      <c r="E78" s="85"/>
      <c r="F78" s="85"/>
      <c r="G78" s="85"/>
      <c r="H78" s="126"/>
      <c r="I78"/>
      <c r="J78" s="85"/>
      <c r="K78" s="85"/>
      <c r="L78" s="85"/>
      <c r="M78" s="85"/>
      <c r="N78" s="85"/>
      <c r="O78"/>
      <c r="P78" s="85"/>
      <c r="Q78" s="85"/>
      <c r="R78" s="85"/>
      <c r="T78" s="126"/>
      <c r="U78"/>
      <c r="V78" s="85"/>
      <c r="W78" s="85"/>
      <c r="X78" s="85"/>
      <c r="Y78" s="85"/>
      <c r="Z78" s="85"/>
      <c r="AA78" s="85"/>
      <c r="AB78"/>
      <c r="AC78" s="85"/>
      <c r="AD78" s="85"/>
      <c r="AE78" s="85"/>
      <c r="AF78" s="85"/>
      <c r="AG78" s="85"/>
      <c r="AH78"/>
      <c r="AI78" s="85"/>
      <c r="AJ78" s="85"/>
      <c r="AK78" s="85"/>
      <c r="AL78" s="85"/>
      <c r="AM78" s="85"/>
      <c r="AN78" s="85"/>
      <c r="AO78" s="85"/>
      <c r="AP78" s="239"/>
    </row>
    <row r="79" spans="1:89" s="27" customFormat="1" ht="16.5" customHeight="1" x14ac:dyDescent="0.25">
      <c r="A79" s="10"/>
      <c r="B79" s="5"/>
      <c r="D79" s="85"/>
      <c r="E79" s="85"/>
      <c r="F79" s="85"/>
      <c r="G79" s="85"/>
      <c r="H79" s="85"/>
      <c r="I79"/>
      <c r="J79" s="85"/>
      <c r="K79" s="85"/>
      <c r="L79" s="85"/>
      <c r="M79" s="85"/>
      <c r="N79" s="85"/>
      <c r="O79"/>
      <c r="P79" s="85"/>
      <c r="Q79" s="85"/>
      <c r="R79" s="85"/>
      <c r="S79" s="85"/>
      <c r="T79" s="126"/>
      <c r="U79"/>
      <c r="V79" s="85"/>
      <c r="W79" s="85"/>
      <c r="X79" s="85"/>
      <c r="Y79" s="85"/>
      <c r="Z79" s="85"/>
      <c r="AA79" s="85"/>
      <c r="AB79"/>
      <c r="AC79" s="85"/>
      <c r="AD79" s="85"/>
      <c r="AE79" s="85"/>
      <c r="AF79" s="85"/>
      <c r="AG79" s="85"/>
      <c r="AH79"/>
      <c r="AI79" s="85"/>
      <c r="AJ79" s="85"/>
      <c r="AK79" s="85"/>
      <c r="AL79" s="85"/>
      <c r="AM79" s="85"/>
      <c r="AN79" s="85"/>
      <c r="AO79" s="85"/>
      <c r="AP79" s="239"/>
    </row>
    <row r="80" spans="1:89" s="27" customFormat="1" ht="16.5" customHeight="1" x14ac:dyDescent="0.25">
      <c r="A80" s="10"/>
      <c r="B80" s="5" t="s">
        <v>52</v>
      </c>
      <c r="D80" s="86"/>
      <c r="E80" s="86"/>
      <c r="F80" s="86"/>
      <c r="G80" s="86"/>
      <c r="H80" s="86"/>
      <c r="I80"/>
      <c r="J80" s="86"/>
      <c r="K80" s="86"/>
      <c r="L80" s="86"/>
      <c r="M80" s="86"/>
      <c r="N80" s="86"/>
      <c r="O80"/>
      <c r="P80" s="85"/>
      <c r="Q80" s="85"/>
      <c r="R80" s="85"/>
      <c r="T80" s="126"/>
      <c r="U80"/>
      <c r="V80" s="85"/>
      <c r="W80" s="85"/>
      <c r="X80" s="85"/>
      <c r="Y80" s="85"/>
      <c r="Z80" s="85">
        <v>200000</v>
      </c>
      <c r="AA80" s="85"/>
      <c r="AB80"/>
      <c r="AC80" s="85"/>
      <c r="AD80" s="85"/>
      <c r="AE80" s="85"/>
      <c r="AF80" s="85"/>
      <c r="AG80" s="86"/>
      <c r="AH80"/>
      <c r="AI80" s="85">
        <v>0</v>
      </c>
      <c r="AJ80" s="86"/>
      <c r="AK80" s="86"/>
      <c r="AL80" s="86"/>
      <c r="AM80" s="86"/>
      <c r="AN80" s="86"/>
      <c r="AO80" s="86"/>
      <c r="AP80" s="239"/>
    </row>
    <row r="81" spans="1:42" s="27" customFormat="1" ht="16.5" customHeight="1" x14ac:dyDescent="0.25">
      <c r="A81" s="5"/>
      <c r="B81" s="7"/>
      <c r="D81" s="85"/>
      <c r="E81" s="85"/>
      <c r="F81" s="85"/>
      <c r="G81" s="85"/>
      <c r="H81" s="85"/>
      <c r="I81"/>
      <c r="J81" s="85"/>
      <c r="K81" s="85"/>
      <c r="L81" s="85"/>
      <c r="M81" s="85"/>
      <c r="N81" s="85"/>
      <c r="O81"/>
      <c r="P81" s="85"/>
      <c r="Q81" s="85"/>
      <c r="R81" s="85"/>
      <c r="S81" s="85"/>
      <c r="T81" s="85"/>
      <c r="U81"/>
      <c r="V81" s="85"/>
      <c r="W81" s="85"/>
      <c r="X81" s="85"/>
      <c r="Y81" s="85"/>
      <c r="Z81" s="85"/>
      <c r="AA81" s="85"/>
      <c r="AB81"/>
      <c r="AC81" s="85"/>
      <c r="AD81" s="85"/>
      <c r="AE81" s="85"/>
      <c r="AF81" s="85"/>
      <c r="AG81" s="85"/>
      <c r="AH81"/>
      <c r="AI81" s="85" t="s">
        <v>53</v>
      </c>
      <c r="AJ81" s="85"/>
      <c r="AK81" s="85"/>
      <c r="AL81" s="85"/>
      <c r="AM81" s="85"/>
      <c r="AN81" s="85"/>
      <c r="AO81" s="85"/>
      <c r="AP81" s="239"/>
    </row>
    <row r="82" spans="1:42" s="27" customFormat="1" ht="16.5" customHeight="1" x14ac:dyDescent="0.25">
      <c r="A82" s="5"/>
      <c r="B82" s="5"/>
      <c r="D82" s="55"/>
      <c r="E82" s="55"/>
      <c r="F82" s="55"/>
      <c r="G82" s="55"/>
      <c r="H82" s="55"/>
      <c r="I82"/>
      <c r="O82"/>
      <c r="U82"/>
      <c r="V82" s="5"/>
      <c r="W82" s="5"/>
      <c r="X82" s="5"/>
      <c r="Y82" s="5"/>
      <c r="Z82" s="5"/>
      <c r="AB82"/>
      <c r="AC82" s="5"/>
      <c r="AD82" s="5"/>
      <c r="AE82" s="5"/>
      <c r="AF82" s="5"/>
      <c r="AH82"/>
      <c r="AP82" s="135"/>
    </row>
    <row r="83" spans="1:42" s="27" customFormat="1" ht="16.5" customHeight="1" x14ac:dyDescent="0.25">
      <c r="A83" s="5"/>
      <c r="B83" s="32" t="s">
        <v>54</v>
      </c>
      <c r="D83" s="55"/>
      <c r="E83" s="55"/>
      <c r="F83" s="55"/>
      <c r="G83" s="55"/>
      <c r="H83" s="55"/>
      <c r="I83"/>
      <c r="O83"/>
      <c r="U83"/>
      <c r="V83" s="5"/>
      <c r="W83" s="5"/>
      <c r="X83" s="5"/>
      <c r="Y83" s="5"/>
      <c r="Z83" s="5"/>
      <c r="AB83"/>
      <c r="AC83" s="5"/>
      <c r="AD83" s="5"/>
      <c r="AE83" s="5"/>
      <c r="AF83" s="5"/>
      <c r="AH83"/>
      <c r="AP83" s="135"/>
    </row>
    <row r="84" spans="1:42" s="27" customFormat="1" ht="16.5" customHeight="1" x14ac:dyDescent="0.25">
      <c r="A84" s="16"/>
      <c r="B84" s="15" t="s">
        <v>81</v>
      </c>
      <c r="D84" s="132">
        <v>37</v>
      </c>
      <c r="E84" s="85"/>
      <c r="F84" s="85"/>
      <c r="G84" s="85"/>
      <c r="H84" s="168">
        <f>SUM(D84:G84)</f>
        <v>37</v>
      </c>
      <c r="I84"/>
      <c r="J84" s="85"/>
      <c r="K84" s="85"/>
      <c r="L84" s="85"/>
      <c r="M84" s="157"/>
      <c r="N84" s="85"/>
      <c r="O84"/>
      <c r="P84" s="203"/>
      <c r="Q84" s="165"/>
      <c r="R84" s="85"/>
      <c r="S84" s="85"/>
      <c r="T84" s="85"/>
      <c r="U84"/>
      <c r="V84" s="85"/>
      <c r="W84" s="85"/>
      <c r="X84" s="85"/>
      <c r="Y84" s="85"/>
      <c r="Z84" s="85"/>
      <c r="AA84" s="85"/>
      <c r="AB84"/>
      <c r="AC84" s="85"/>
      <c r="AD84" s="85"/>
      <c r="AE84" s="85"/>
      <c r="AF84" s="85"/>
      <c r="AG84" s="85"/>
      <c r="AH84"/>
      <c r="AI84" s="85"/>
      <c r="AJ84" s="85"/>
      <c r="AK84" s="85"/>
      <c r="AL84" s="85"/>
      <c r="AM84" s="85"/>
      <c r="AN84" s="85"/>
      <c r="AO84" s="85"/>
      <c r="AP84" s="239"/>
    </row>
    <row r="85" spans="1:42" s="27" customFormat="1" ht="16.5" customHeight="1" x14ac:dyDescent="0.25">
      <c r="A85" s="10"/>
      <c r="B85" s="15" t="s">
        <v>55</v>
      </c>
      <c r="D85" s="85"/>
      <c r="E85" s="85"/>
      <c r="F85" s="134">
        <v>2445.17</v>
      </c>
      <c r="G85" s="85"/>
      <c r="H85" s="168">
        <f>SUM(D85:G85)</f>
        <v>2445.17</v>
      </c>
      <c r="I85"/>
      <c r="J85" s="134">
        <v>4526.51</v>
      </c>
      <c r="K85" s="85"/>
      <c r="L85" s="164"/>
      <c r="M85" s="91"/>
      <c r="N85" s="168">
        <f t="shared" ref="N85:N86" si="13">SUM(J85:M85)</f>
        <v>4526.51</v>
      </c>
      <c r="O85"/>
      <c r="P85" s="91"/>
      <c r="Q85" s="165"/>
      <c r="R85" s="89"/>
      <c r="S85" s="85"/>
      <c r="T85" s="85"/>
      <c r="U85"/>
      <c r="V85" s="85"/>
      <c r="W85" s="85"/>
      <c r="X85" s="85"/>
      <c r="Y85" s="85"/>
      <c r="Z85" s="85"/>
      <c r="AA85" s="85"/>
      <c r="AB85"/>
      <c r="AC85" s="85"/>
      <c r="AD85" s="85"/>
      <c r="AE85" s="85"/>
      <c r="AF85" s="85"/>
      <c r="AG85" s="85"/>
      <c r="AH85"/>
      <c r="AI85" s="85"/>
      <c r="AJ85" s="85"/>
      <c r="AK85" s="85"/>
      <c r="AL85" s="85"/>
      <c r="AM85" s="85"/>
      <c r="AN85" s="85"/>
      <c r="AO85" s="85"/>
      <c r="AP85" s="239"/>
    </row>
    <row r="86" spans="1:42" s="27" customFormat="1" ht="16.5" customHeight="1" x14ac:dyDescent="0.25">
      <c r="A86" s="10"/>
      <c r="B86" s="80" t="s">
        <v>82</v>
      </c>
      <c r="D86" s="131">
        <f>34969+15000+0.38</f>
        <v>49969.38</v>
      </c>
      <c r="E86" s="84"/>
      <c r="F86" s="176"/>
      <c r="G86" s="126"/>
      <c r="H86" s="168">
        <f>SUM(D86:G86)</f>
        <v>49969.38</v>
      </c>
      <c r="I86"/>
      <c r="J86" s="134">
        <f>34969.38</f>
        <v>34969.379999999997</v>
      </c>
      <c r="K86" s="84"/>
      <c r="L86" s="84"/>
      <c r="M86" s="162"/>
      <c r="N86" s="168">
        <f t="shared" si="13"/>
        <v>34969.379999999997</v>
      </c>
      <c r="O86"/>
      <c r="P86" s="224">
        <v>34969.379999999997</v>
      </c>
      <c r="Q86" s="167"/>
      <c r="R86" s="84"/>
      <c r="T86" s="126"/>
      <c r="U86"/>
      <c r="V86" s="85"/>
      <c r="W86" s="85"/>
      <c r="X86" s="85"/>
      <c r="Y86" s="84">
        <f>P86</f>
        <v>34969.379999999997</v>
      </c>
      <c r="Z86" s="85"/>
      <c r="AA86" s="85"/>
      <c r="AB86"/>
      <c r="AC86" s="85"/>
      <c r="AD86" s="85"/>
      <c r="AE86" s="85"/>
      <c r="AF86" s="85"/>
      <c r="AG86" s="84">
        <v>40000</v>
      </c>
      <c r="AH86"/>
      <c r="AI86" s="84">
        <v>45000</v>
      </c>
      <c r="AJ86" s="84">
        <f>AI86</f>
        <v>45000</v>
      </c>
      <c r="AK86" s="84">
        <f t="shared" ref="AK86:AO86" si="14">AJ86</f>
        <v>45000</v>
      </c>
      <c r="AL86" s="84">
        <f t="shared" si="14"/>
        <v>45000</v>
      </c>
      <c r="AM86" s="84">
        <f t="shared" si="14"/>
        <v>45000</v>
      </c>
      <c r="AN86" s="84">
        <f t="shared" si="14"/>
        <v>45000</v>
      </c>
      <c r="AO86" s="84">
        <f t="shared" si="14"/>
        <v>45000</v>
      </c>
      <c r="AP86" s="239"/>
    </row>
    <row r="87" spans="1:42" s="27" customFormat="1" ht="16.5" customHeight="1" x14ac:dyDescent="0.25">
      <c r="B87" s="31"/>
      <c r="D87" s="87"/>
      <c r="E87" s="87"/>
      <c r="F87" s="178"/>
      <c r="G87" s="87"/>
      <c r="H87" s="87"/>
      <c r="I87"/>
      <c r="J87" s="87"/>
      <c r="K87" s="87"/>
      <c r="L87" s="87"/>
      <c r="M87" s="87"/>
      <c r="N87" s="87"/>
      <c r="O87"/>
      <c r="P87" s="218"/>
      <c r="Q87" s="87"/>
      <c r="R87" s="87"/>
      <c r="S87" s="87"/>
      <c r="T87" s="87"/>
      <c r="U87"/>
      <c r="V87" s="87"/>
      <c r="W87" s="87"/>
      <c r="X87" s="87"/>
      <c r="Y87" s="87"/>
      <c r="Z87" s="87"/>
      <c r="AB87"/>
      <c r="AC87" s="87"/>
      <c r="AD87" s="87"/>
      <c r="AE87" s="87"/>
      <c r="AF87" s="87"/>
      <c r="AG87" s="87"/>
      <c r="AH87"/>
      <c r="AI87" s="87"/>
      <c r="AJ87" s="87"/>
      <c r="AK87" s="87"/>
      <c r="AL87" s="87"/>
      <c r="AM87" s="85"/>
      <c r="AN87" s="85"/>
      <c r="AO87" s="85"/>
      <c r="AP87" s="137"/>
    </row>
    <row r="88" spans="1:42" s="27" customFormat="1" ht="16.5" customHeight="1" x14ac:dyDescent="0.25">
      <c r="A88" s="10"/>
      <c r="B88" s="15" t="s">
        <v>56</v>
      </c>
      <c r="D88" s="85"/>
      <c r="E88" s="85"/>
      <c r="F88" s="133"/>
      <c r="G88" s="85"/>
      <c r="H88" s="126"/>
      <c r="I88"/>
      <c r="J88" s="85"/>
      <c r="K88" s="85"/>
      <c r="L88" s="164"/>
      <c r="M88" s="91"/>
      <c r="N88" s="91"/>
      <c r="O88"/>
      <c r="P88" s="85"/>
      <c r="Q88" s="85"/>
      <c r="R88" s="85"/>
      <c r="S88" s="85"/>
      <c r="T88" s="126"/>
      <c r="U88"/>
      <c r="V88" s="85"/>
      <c r="W88" s="85"/>
      <c r="X88" s="85">
        <v>500</v>
      </c>
      <c r="Y88" s="85"/>
      <c r="Z88" s="85"/>
      <c r="AA88" s="85"/>
      <c r="AB88"/>
      <c r="AC88" s="85"/>
      <c r="AD88" s="85"/>
      <c r="AE88" s="85"/>
      <c r="AF88" s="85"/>
      <c r="AG88" s="85">
        <v>500</v>
      </c>
      <c r="AH88"/>
      <c r="AI88" s="85">
        <v>500</v>
      </c>
      <c r="AJ88" s="85">
        <v>30333.333333333332</v>
      </c>
      <c r="AK88" s="85">
        <v>30333.333333333332</v>
      </c>
      <c r="AL88" s="85">
        <v>30333.333333333332</v>
      </c>
      <c r="AM88" s="85">
        <v>30333.333333333332</v>
      </c>
      <c r="AN88" s="85">
        <v>30333.333333333332</v>
      </c>
      <c r="AO88" s="85">
        <v>30333.333333333332</v>
      </c>
      <c r="AP88" s="239"/>
    </row>
    <row r="89" spans="1:42" s="27" customFormat="1" ht="16.5" customHeight="1" x14ac:dyDescent="0.25">
      <c r="A89" s="10"/>
      <c r="B89" s="15" t="s">
        <v>57</v>
      </c>
      <c r="D89" s="85"/>
      <c r="E89" s="85"/>
      <c r="F89" s="133"/>
      <c r="G89" s="85"/>
      <c r="H89" s="85"/>
      <c r="I89"/>
      <c r="J89" s="85"/>
      <c r="K89" s="85"/>
      <c r="L89" s="164"/>
      <c r="M89" s="89"/>
      <c r="N89" s="89"/>
      <c r="O89"/>
      <c r="P89" s="157"/>
      <c r="Q89" s="157"/>
      <c r="R89" s="85"/>
      <c r="S89" s="85"/>
      <c r="T89" s="126"/>
      <c r="U89"/>
      <c r="V89" s="85"/>
      <c r="W89" s="85"/>
      <c r="X89" s="85"/>
      <c r="Y89" s="85"/>
      <c r="Z89" s="85"/>
      <c r="AA89" s="85"/>
      <c r="AB89"/>
      <c r="AC89" s="85"/>
      <c r="AD89" s="85"/>
      <c r="AE89" s="85"/>
      <c r="AF89" s="85"/>
      <c r="AG89" s="85">
        <v>0</v>
      </c>
      <c r="AH89"/>
      <c r="AI89" s="85">
        <v>1500</v>
      </c>
      <c r="AJ89" s="85">
        <v>4920</v>
      </c>
      <c r="AK89" s="85">
        <v>0</v>
      </c>
      <c r="AL89" s="85">
        <v>5460</v>
      </c>
      <c r="AM89" s="85">
        <v>100</v>
      </c>
      <c r="AN89" s="85">
        <v>8005</v>
      </c>
      <c r="AO89" s="85">
        <v>5460</v>
      </c>
      <c r="AP89" s="239"/>
    </row>
    <row r="90" spans="1:42" s="27" customFormat="1" ht="16.5" customHeight="1" x14ac:dyDescent="0.25">
      <c r="A90" s="10"/>
      <c r="B90" s="15" t="s">
        <v>58</v>
      </c>
      <c r="D90" s="85"/>
      <c r="E90" s="85"/>
      <c r="F90" s="133"/>
      <c r="G90" s="134">
        <v>15694.17</v>
      </c>
      <c r="H90" s="168">
        <f>SUM(D90:G90)</f>
        <v>15694.17</v>
      </c>
      <c r="I90"/>
      <c r="J90" s="85"/>
      <c r="K90" s="85"/>
      <c r="L90" s="164"/>
      <c r="M90" s="168">
        <v>29996.7</v>
      </c>
      <c r="N90" s="240">
        <f>SUM(J90:M90)</f>
        <v>29996.7</v>
      </c>
      <c r="O90"/>
      <c r="P90" s="91"/>
      <c r="Q90" s="89"/>
      <c r="R90" s="165"/>
      <c r="S90" s="85">
        <v>23074.25</v>
      </c>
      <c r="T90" s="126"/>
      <c r="U90"/>
      <c r="V90" s="85"/>
      <c r="W90" s="85"/>
      <c r="X90" s="85"/>
      <c r="Y90" s="85"/>
      <c r="Z90" s="85">
        <v>23074.25</v>
      </c>
      <c r="AA90" s="85"/>
      <c r="AB90"/>
      <c r="AC90" s="85"/>
      <c r="AD90" s="85"/>
      <c r="AE90" s="85"/>
      <c r="AF90" s="85"/>
      <c r="AG90" s="85">
        <v>23074.25</v>
      </c>
      <c r="AH90"/>
      <c r="AI90" s="85">
        <v>23074.25</v>
      </c>
      <c r="AJ90" s="85">
        <f>23074.25-AJ98</f>
        <v>16548.25</v>
      </c>
      <c r="AK90" s="85">
        <v>23074.25</v>
      </c>
      <c r="AL90" s="85">
        <v>23074.25</v>
      </c>
      <c r="AM90" s="85">
        <v>23074.25</v>
      </c>
      <c r="AN90" s="85">
        <v>23074.25</v>
      </c>
      <c r="AO90" s="85">
        <v>23074.25</v>
      </c>
      <c r="AP90" s="239"/>
    </row>
    <row r="91" spans="1:42" s="27" customFormat="1" ht="16.5" customHeight="1" x14ac:dyDescent="0.25">
      <c r="A91" s="10"/>
      <c r="B91" s="15" t="s">
        <v>59</v>
      </c>
      <c r="D91" s="85"/>
      <c r="E91" s="85"/>
      <c r="F91" s="133"/>
      <c r="G91" s="85"/>
      <c r="H91" s="126"/>
      <c r="I91"/>
      <c r="J91" s="85"/>
      <c r="K91" s="85"/>
      <c r="L91" s="164"/>
      <c r="M91" s="91"/>
      <c r="N91" s="91"/>
      <c r="O91"/>
      <c r="P91" s="158"/>
      <c r="Q91" s="158"/>
      <c r="R91" s="85"/>
      <c r="S91" s="85"/>
      <c r="T91" s="126"/>
      <c r="U91"/>
      <c r="V91" s="85"/>
      <c r="W91" s="85"/>
      <c r="X91" s="85"/>
      <c r="Y91" s="85"/>
      <c r="Z91" s="85">
        <v>2000</v>
      </c>
      <c r="AA91" s="85"/>
      <c r="AB91"/>
      <c r="AC91" s="85"/>
      <c r="AD91" s="85"/>
      <c r="AE91" s="85"/>
      <c r="AF91" s="85"/>
      <c r="AG91" s="85">
        <v>2000</v>
      </c>
      <c r="AH91"/>
      <c r="AI91" s="85">
        <v>2000</v>
      </c>
      <c r="AJ91" s="85">
        <v>2000</v>
      </c>
      <c r="AK91" s="85">
        <v>2000</v>
      </c>
      <c r="AL91" s="85">
        <v>2000</v>
      </c>
      <c r="AM91" s="85">
        <v>2000</v>
      </c>
      <c r="AN91" s="85">
        <v>2000</v>
      </c>
      <c r="AO91" s="85">
        <v>2000</v>
      </c>
      <c r="AP91" s="239"/>
    </row>
    <row r="92" spans="1:42" s="27" customFormat="1" ht="16.5" customHeight="1" x14ac:dyDescent="0.25">
      <c r="A92" s="10"/>
      <c r="B92" s="15" t="s">
        <v>60</v>
      </c>
      <c r="D92" s="85"/>
      <c r="E92" s="85"/>
      <c r="F92" s="133"/>
      <c r="G92" s="85"/>
      <c r="H92" s="126"/>
      <c r="I92"/>
      <c r="J92" s="85"/>
      <c r="K92" s="85"/>
      <c r="L92" s="164"/>
      <c r="M92" s="91"/>
      <c r="N92" s="91"/>
      <c r="O92"/>
      <c r="P92" s="85"/>
      <c r="Q92" s="85"/>
      <c r="R92" s="85"/>
      <c r="S92" s="85"/>
      <c r="T92" s="126"/>
      <c r="U92"/>
      <c r="V92" s="85"/>
      <c r="W92" s="85"/>
      <c r="X92" s="85"/>
      <c r="Y92" s="85">
        <v>2287.9166666666665</v>
      </c>
      <c r="Z92" s="85"/>
      <c r="AA92" s="85"/>
      <c r="AB92"/>
      <c r="AC92" s="85"/>
      <c r="AD92" s="85"/>
      <c r="AE92" s="85"/>
      <c r="AF92" s="85"/>
      <c r="AG92" s="85">
        <v>2287.9166666666665</v>
      </c>
      <c r="AH92"/>
      <c r="AI92" s="85">
        <v>2287.9166666666665</v>
      </c>
      <c r="AJ92" s="85">
        <v>2287.9166666666665</v>
      </c>
      <c r="AK92" s="85">
        <v>2287.9166666666665</v>
      </c>
      <c r="AL92" s="85">
        <v>2287.9166666666665</v>
      </c>
      <c r="AM92" s="85">
        <v>2287.9166666666665</v>
      </c>
      <c r="AN92" s="85">
        <v>2287.9166666666665</v>
      </c>
      <c r="AO92" s="85">
        <v>2287.9166666666665</v>
      </c>
      <c r="AP92" s="239"/>
    </row>
    <row r="93" spans="1:42" s="27" customFormat="1" ht="16.5" customHeight="1" x14ac:dyDescent="0.25">
      <c r="A93" s="10"/>
      <c r="B93" s="15" t="s">
        <v>61</v>
      </c>
      <c r="D93" s="85"/>
      <c r="E93" s="85"/>
      <c r="F93" s="133"/>
      <c r="G93" s="85"/>
      <c r="H93" s="85"/>
      <c r="I93"/>
      <c r="J93" s="85"/>
      <c r="K93" s="85"/>
      <c r="L93" s="85"/>
      <c r="M93" s="158"/>
      <c r="N93" s="89"/>
      <c r="O93"/>
      <c r="P93" s="85"/>
      <c r="Q93" s="85"/>
      <c r="R93" s="85"/>
      <c r="S93" s="85"/>
      <c r="T93" s="126"/>
      <c r="U93"/>
      <c r="V93" s="85"/>
      <c r="W93" s="85"/>
      <c r="X93" s="85">
        <v>5000</v>
      </c>
      <c r="Y93" s="85"/>
      <c r="Z93" s="85"/>
      <c r="AA93" s="85"/>
      <c r="AB93"/>
      <c r="AC93" s="85"/>
      <c r="AD93" s="85"/>
      <c r="AE93" s="85"/>
      <c r="AF93" s="85"/>
      <c r="AG93" s="85">
        <v>7250</v>
      </c>
      <c r="AH93"/>
      <c r="AI93" s="85">
        <v>9000</v>
      </c>
      <c r="AJ93" s="85">
        <v>18200</v>
      </c>
      <c r="AK93" s="85">
        <v>0</v>
      </c>
      <c r="AL93" s="85">
        <v>11250</v>
      </c>
      <c r="AM93" s="85">
        <v>15000</v>
      </c>
      <c r="AN93" s="85">
        <v>19200</v>
      </c>
      <c r="AO93" s="85">
        <v>3050</v>
      </c>
      <c r="AP93" s="239"/>
    </row>
    <row r="94" spans="1:42" s="27" customFormat="1" ht="16.5" customHeight="1" x14ac:dyDescent="0.25">
      <c r="A94" s="10"/>
      <c r="B94" s="31"/>
      <c r="D94" s="87"/>
      <c r="E94" s="87"/>
      <c r="F94" s="178"/>
      <c r="G94" s="87"/>
      <c r="H94" s="87"/>
      <c r="I94"/>
      <c r="J94" s="87"/>
      <c r="K94" s="87"/>
      <c r="L94" s="87"/>
      <c r="M94" s="87"/>
      <c r="N94" s="87"/>
      <c r="O94"/>
      <c r="P94" s="87"/>
      <c r="Q94" s="87"/>
      <c r="R94" s="87"/>
      <c r="S94" s="87"/>
      <c r="T94" s="87"/>
      <c r="U94"/>
      <c r="V94" s="87"/>
      <c r="W94" s="87"/>
      <c r="X94" s="87"/>
      <c r="Y94" s="87"/>
      <c r="Z94" s="87"/>
      <c r="AB94"/>
      <c r="AC94" s="87"/>
      <c r="AD94" s="87"/>
      <c r="AE94" s="87"/>
      <c r="AF94" s="87"/>
      <c r="AG94" s="87"/>
      <c r="AH94"/>
      <c r="AI94" s="87"/>
      <c r="AJ94" s="87"/>
      <c r="AK94" s="87"/>
      <c r="AL94" s="87"/>
      <c r="AM94" s="85"/>
      <c r="AN94" s="85"/>
      <c r="AO94" s="85"/>
      <c r="AP94" s="239"/>
    </row>
    <row r="95" spans="1:42" s="27" customFormat="1" ht="16.5" customHeight="1" x14ac:dyDescent="0.25">
      <c r="A95" s="10"/>
      <c r="B95" s="15" t="s">
        <v>62</v>
      </c>
      <c r="D95" s="85"/>
      <c r="E95" s="85"/>
      <c r="F95" s="133"/>
      <c r="G95" s="85"/>
      <c r="H95" s="85"/>
      <c r="I95"/>
      <c r="J95" s="85"/>
      <c r="K95" s="85"/>
      <c r="L95" s="85"/>
      <c r="M95" s="85"/>
      <c r="N95" s="85"/>
      <c r="O95"/>
      <c r="P95" s="85"/>
      <c r="Q95" s="85"/>
      <c r="R95" s="85"/>
      <c r="S95" s="85"/>
      <c r="T95" s="126"/>
      <c r="U95"/>
      <c r="V95" s="85"/>
      <c r="W95" s="85"/>
      <c r="X95" s="85"/>
      <c r="Y95" s="85"/>
      <c r="Z95" s="85"/>
      <c r="AA95" s="85"/>
      <c r="AB95"/>
      <c r="AC95" s="85"/>
      <c r="AD95" s="85"/>
      <c r="AE95" s="85"/>
      <c r="AF95" s="85"/>
      <c r="AG95" s="85"/>
      <c r="AH95"/>
      <c r="AI95" s="85"/>
      <c r="AJ95" s="85">
        <v>10500</v>
      </c>
      <c r="AK95" s="85"/>
      <c r="AL95" s="85"/>
      <c r="AM95" s="85"/>
      <c r="AN95" s="85"/>
      <c r="AO95" s="85">
        <v>10500</v>
      </c>
      <c r="AP95" s="239"/>
    </row>
    <row r="96" spans="1:42" s="27" customFormat="1" ht="16.5" customHeight="1" x14ac:dyDescent="0.25">
      <c r="A96" s="10"/>
      <c r="B96" s="31"/>
      <c r="D96" s="87"/>
      <c r="E96" s="87"/>
      <c r="F96" s="178"/>
      <c r="G96" s="87"/>
      <c r="H96" s="87"/>
      <c r="I96"/>
      <c r="J96" s="87"/>
      <c r="K96" s="87"/>
      <c r="L96" s="87"/>
      <c r="M96" s="87"/>
      <c r="N96" s="87"/>
      <c r="O96"/>
      <c r="P96" s="87"/>
      <c r="Q96" s="87"/>
      <c r="R96" s="87"/>
      <c r="S96" s="87"/>
      <c r="T96" s="87"/>
      <c r="U96"/>
      <c r="V96" s="87"/>
      <c r="W96" s="87"/>
      <c r="X96" s="87"/>
      <c r="Y96" s="87"/>
      <c r="Z96" s="87"/>
      <c r="AB96"/>
      <c r="AC96" s="87"/>
      <c r="AD96" s="87"/>
      <c r="AE96" s="87"/>
      <c r="AF96" s="87"/>
      <c r="AG96" s="87"/>
      <c r="AH96"/>
      <c r="AI96" s="87"/>
      <c r="AJ96" s="87"/>
      <c r="AK96" s="87"/>
      <c r="AL96" s="87"/>
      <c r="AM96" s="85"/>
      <c r="AN96" s="85"/>
      <c r="AO96" s="85"/>
      <c r="AP96" s="239"/>
    </row>
    <row r="97" spans="1:93" s="27" customFormat="1" ht="16.5" customHeight="1" x14ac:dyDescent="0.25">
      <c r="A97" s="10"/>
      <c r="B97" s="31" t="s">
        <v>83</v>
      </c>
      <c r="D97" s="85"/>
      <c r="E97" s="85"/>
      <c r="F97" s="133"/>
      <c r="G97" s="91"/>
      <c r="H97" s="126"/>
      <c r="I97"/>
      <c r="J97" s="85"/>
      <c r="K97" s="134">
        <f>2625+5250</f>
        <v>7875</v>
      </c>
      <c r="L97" s="85"/>
      <c r="M97" s="85"/>
      <c r="N97" s="168">
        <f>SUM(J97:M97)</f>
        <v>7875</v>
      </c>
      <c r="O97"/>
      <c r="P97" s="85"/>
      <c r="Q97" s="85"/>
      <c r="R97" s="85"/>
      <c r="S97" s="126"/>
      <c r="T97" s="126"/>
      <c r="U97"/>
      <c r="V97" s="85">
        <v>4200</v>
      </c>
      <c r="W97" s="85"/>
      <c r="X97" s="85"/>
      <c r="Y97" s="85"/>
      <c r="Z97" s="85"/>
      <c r="AA97" s="85"/>
      <c r="AB97"/>
      <c r="AC97" s="85"/>
      <c r="AD97" s="85"/>
      <c r="AE97" s="85"/>
      <c r="AF97" s="85"/>
      <c r="AG97" s="85">
        <v>4200</v>
      </c>
      <c r="AH97"/>
      <c r="AI97" s="85">
        <v>4200</v>
      </c>
      <c r="AJ97" s="85">
        <v>4200</v>
      </c>
      <c r="AK97" s="85">
        <v>4200</v>
      </c>
      <c r="AL97" s="85">
        <v>4200</v>
      </c>
      <c r="AM97" s="85">
        <v>4200</v>
      </c>
      <c r="AN97" s="85">
        <v>4200</v>
      </c>
      <c r="AO97" s="85">
        <v>4200</v>
      </c>
      <c r="AP97" s="239"/>
    </row>
    <row r="98" spans="1:93" s="27" customFormat="1" ht="16.5" customHeight="1" x14ac:dyDescent="0.25">
      <c r="A98" s="10"/>
      <c r="B98" s="31" t="s">
        <v>84</v>
      </c>
      <c r="D98" s="85"/>
      <c r="E98" s="85"/>
      <c r="F98" s="133"/>
      <c r="G98" s="85"/>
      <c r="H98" s="85"/>
      <c r="I98"/>
      <c r="J98" s="85"/>
      <c r="K98" s="85"/>
      <c r="L98" s="85"/>
      <c r="M98" s="85"/>
      <c r="N98" s="89"/>
      <c r="O98"/>
      <c r="P98" s="85"/>
      <c r="Q98" s="85"/>
      <c r="R98" s="85"/>
      <c r="S98" s="85"/>
      <c r="T98" s="85"/>
      <c r="U98"/>
      <c r="V98" s="85"/>
      <c r="W98" s="85"/>
      <c r="X98" s="85"/>
      <c r="Y98" s="85"/>
      <c r="Z98" s="85"/>
      <c r="AA98" s="85"/>
      <c r="AB98"/>
      <c r="AC98" s="85"/>
      <c r="AD98" s="85"/>
      <c r="AE98" s="85"/>
      <c r="AF98" s="85"/>
      <c r="AG98" s="85">
        <v>0</v>
      </c>
      <c r="AH98"/>
      <c r="AI98" s="85">
        <v>0</v>
      </c>
      <c r="AJ98" s="85">
        <v>6526</v>
      </c>
      <c r="AK98" s="85">
        <v>0</v>
      </c>
      <c r="AL98" s="85">
        <v>0</v>
      </c>
      <c r="AM98" s="85">
        <v>0</v>
      </c>
      <c r="AN98" s="85">
        <v>0</v>
      </c>
      <c r="AO98" s="85">
        <v>0</v>
      </c>
      <c r="AP98" s="239"/>
    </row>
    <row r="99" spans="1:93" s="27" customFormat="1" ht="16.5" customHeight="1" x14ac:dyDescent="0.25">
      <c r="A99" s="10"/>
      <c r="B99" s="31" t="s">
        <v>85</v>
      </c>
      <c r="D99" s="85"/>
      <c r="E99" s="85"/>
      <c r="F99" s="133"/>
      <c r="G99" s="85"/>
      <c r="H99" s="85"/>
      <c r="I99"/>
      <c r="J99" s="89"/>
      <c r="K99" s="157"/>
      <c r="L99" s="157"/>
      <c r="M99" s="157"/>
      <c r="N99" s="89"/>
      <c r="O99"/>
      <c r="P99" s="85"/>
      <c r="Q99" s="85"/>
      <c r="R99" s="185"/>
      <c r="S99" s="157"/>
      <c r="T99" s="85"/>
      <c r="U99"/>
      <c r="V99" s="85"/>
      <c r="W99" s="85"/>
      <c r="X99" s="85"/>
      <c r="Y99" s="85"/>
      <c r="Z99" s="85"/>
      <c r="AA99" s="85"/>
      <c r="AB99"/>
      <c r="AC99" s="85"/>
      <c r="AD99" s="85"/>
      <c r="AE99" s="85"/>
      <c r="AF99" s="85"/>
      <c r="AG99" s="85">
        <v>0</v>
      </c>
      <c r="AH99"/>
      <c r="AI99" s="85">
        <v>0</v>
      </c>
      <c r="AJ99" s="85">
        <v>0</v>
      </c>
      <c r="AK99" s="85">
        <v>0</v>
      </c>
      <c r="AL99" s="85">
        <v>0</v>
      </c>
      <c r="AM99" s="85">
        <v>0</v>
      </c>
      <c r="AN99" s="85">
        <v>0</v>
      </c>
      <c r="AO99" s="85">
        <v>0</v>
      </c>
      <c r="AP99" s="239"/>
    </row>
    <row r="100" spans="1:93" s="27" customFormat="1" ht="16.5" customHeight="1" x14ac:dyDescent="0.25">
      <c r="A100" s="10"/>
      <c r="B100" s="31" t="s">
        <v>86</v>
      </c>
      <c r="D100" s="85"/>
      <c r="E100" s="159">
        <v>15400</v>
      </c>
      <c r="F100" s="172"/>
      <c r="G100" s="91"/>
      <c r="H100" s="168">
        <f>SUM(D100:G100)</f>
        <v>15400</v>
      </c>
      <c r="I100"/>
      <c r="J100" s="204"/>
      <c r="K100" s="168">
        <v>10010</v>
      </c>
      <c r="L100" s="204"/>
      <c r="M100" s="91"/>
      <c r="N100" s="168">
        <f>SUM(J100:M100)</f>
        <v>10010</v>
      </c>
      <c r="O100"/>
      <c r="P100" s="157"/>
      <c r="Q100" s="168">
        <v>17160</v>
      </c>
      <c r="R100" s="91"/>
      <c r="S100" s="91"/>
      <c r="T100" s="156"/>
      <c r="U100"/>
      <c r="V100" s="85"/>
      <c r="W100" s="85"/>
      <c r="X100" s="85">
        <v>15400</v>
      </c>
      <c r="Y100" s="85"/>
      <c r="Z100" s="85"/>
      <c r="AA100" s="85"/>
      <c r="AB100"/>
      <c r="AC100" s="85"/>
      <c r="AD100" s="85"/>
      <c r="AE100" s="85"/>
      <c r="AF100" s="85"/>
      <c r="AG100" s="85">
        <v>15400</v>
      </c>
      <c r="AH100"/>
      <c r="AI100" s="85">
        <v>15400</v>
      </c>
      <c r="AJ100" s="85">
        <v>15400</v>
      </c>
      <c r="AK100" s="85">
        <v>15400</v>
      </c>
      <c r="AL100" s="85">
        <v>15400</v>
      </c>
      <c r="AM100" s="85">
        <v>15400</v>
      </c>
      <c r="AN100" s="85">
        <v>15400</v>
      </c>
      <c r="AO100" s="85">
        <v>15400</v>
      </c>
      <c r="AP100" s="137"/>
    </row>
    <row r="101" spans="1:93" s="27" customFormat="1" ht="16.5" customHeight="1" x14ac:dyDescent="0.25">
      <c r="A101" s="10"/>
      <c r="B101" s="31" t="s">
        <v>87</v>
      </c>
      <c r="D101" s="85"/>
      <c r="E101" s="89"/>
      <c r="F101" s="172"/>
      <c r="G101" s="159">
        <v>268.74</v>
      </c>
      <c r="H101" s="168">
        <f>SUM(D101:G101)</f>
        <v>268.74</v>
      </c>
      <c r="I101"/>
      <c r="J101" s="89"/>
      <c r="K101" s="206"/>
      <c r="L101" s="217"/>
      <c r="M101" s="168">
        <v>269.2</v>
      </c>
      <c r="N101" s="168">
        <f>SUM(J101:M101)</f>
        <v>269.2</v>
      </c>
      <c r="O101"/>
      <c r="P101" s="91"/>
      <c r="Q101" s="205"/>
      <c r="R101" s="206"/>
      <c r="S101" s="179">
        <f>M101</f>
        <v>269.2</v>
      </c>
      <c r="T101" s="126"/>
      <c r="U101"/>
      <c r="V101" s="85"/>
      <c r="W101" s="85"/>
      <c r="X101" s="85"/>
      <c r="Y101" s="85"/>
      <c r="Z101" s="85">
        <f>S101</f>
        <v>269.2</v>
      </c>
      <c r="AA101" s="85"/>
      <c r="AB101"/>
      <c r="AC101" s="85"/>
      <c r="AD101" s="85"/>
      <c r="AE101" s="85"/>
      <c r="AF101" s="85"/>
      <c r="AG101" s="85">
        <f>Z101</f>
        <v>269.2</v>
      </c>
      <c r="AH101"/>
      <c r="AI101" s="85">
        <f>AG101</f>
        <v>269.2</v>
      </c>
      <c r="AJ101" s="85">
        <f t="shared" ref="AJ101:AO101" si="15">AI101</f>
        <v>269.2</v>
      </c>
      <c r="AK101" s="85">
        <f t="shared" si="15"/>
        <v>269.2</v>
      </c>
      <c r="AL101" s="85">
        <f t="shared" si="15"/>
        <v>269.2</v>
      </c>
      <c r="AM101" s="85">
        <f t="shared" si="15"/>
        <v>269.2</v>
      </c>
      <c r="AN101" s="85">
        <f t="shared" si="15"/>
        <v>269.2</v>
      </c>
      <c r="AO101" s="85">
        <f t="shared" si="15"/>
        <v>269.2</v>
      </c>
      <c r="AP101" s="239"/>
    </row>
    <row r="102" spans="1:93" s="27" customFormat="1" ht="16.5" customHeight="1" x14ac:dyDescent="0.25">
      <c r="A102" s="10"/>
      <c r="B102" s="31" t="s">
        <v>88</v>
      </c>
      <c r="C102" s="5"/>
      <c r="D102" s="85"/>
      <c r="E102" s="89"/>
      <c r="F102" s="172"/>
      <c r="G102" s="89"/>
      <c r="H102" s="91"/>
      <c r="I102"/>
      <c r="J102" s="89"/>
      <c r="K102" s="164"/>
      <c r="L102" s="211"/>
      <c r="M102" s="91"/>
      <c r="N102" s="91"/>
      <c r="O102"/>
      <c r="P102" s="221">
        <v>2002.5</v>
      </c>
      <c r="Q102" s="89"/>
      <c r="R102" s="164"/>
      <c r="S102" s="89"/>
      <c r="T102" s="126"/>
      <c r="U102"/>
      <c r="V102" s="85"/>
      <c r="W102" s="85">
        <v>5000</v>
      </c>
      <c r="X102" s="85"/>
      <c r="Y102" s="85"/>
      <c r="Z102" s="85"/>
      <c r="AA102" s="85"/>
      <c r="AB102"/>
      <c r="AC102" s="85"/>
      <c r="AD102" s="85"/>
      <c r="AE102" s="85"/>
      <c r="AF102" s="85"/>
      <c r="AG102" s="85">
        <v>5000</v>
      </c>
      <c r="AH102"/>
      <c r="AI102" s="85">
        <v>4000</v>
      </c>
      <c r="AJ102" s="85">
        <v>4000</v>
      </c>
      <c r="AK102" s="85">
        <v>4000</v>
      </c>
      <c r="AL102" s="85">
        <v>4000</v>
      </c>
      <c r="AM102" s="85">
        <v>4000</v>
      </c>
      <c r="AN102" s="85">
        <v>4000</v>
      </c>
      <c r="AO102" s="85">
        <v>4000</v>
      </c>
      <c r="AP102" s="239"/>
      <c r="AQ102" s="5"/>
      <c r="AR102" s="5"/>
      <c r="AS102" s="5"/>
      <c r="AT102" s="5"/>
      <c r="AU102" s="5"/>
    </row>
    <row r="103" spans="1:93" s="5" customFormat="1" ht="16.5" customHeight="1" x14ac:dyDescent="0.25">
      <c r="A103" s="10"/>
      <c r="B103" s="31" t="s">
        <v>89</v>
      </c>
      <c r="D103" s="85"/>
      <c r="E103" s="170"/>
      <c r="F103" s="168">
        <f>10978+1290+360+1012.5</f>
        <v>13640.5</v>
      </c>
      <c r="G103" s="89"/>
      <c r="H103" s="168">
        <f>SUM(D103:G103)</f>
        <v>13640.5</v>
      </c>
      <c r="I103"/>
      <c r="J103" s="170"/>
      <c r="K103" s="207">
        <f>1514+317.5</f>
        <v>1831.5</v>
      </c>
      <c r="L103" s="216"/>
      <c r="M103" s="89"/>
      <c r="N103" s="168">
        <f>SUM(J103:M103)</f>
        <v>1831.5</v>
      </c>
      <c r="O103"/>
      <c r="P103" s="213">
        <f>4794+121.5+4526.4</f>
        <v>9441.9</v>
      </c>
      <c r="Q103" s="219"/>
      <c r="R103" s="164"/>
      <c r="S103" s="85"/>
      <c r="T103" s="198"/>
      <c r="U103"/>
      <c r="V103" s="85"/>
      <c r="W103" s="85"/>
      <c r="X103" s="85"/>
      <c r="Y103" s="85">
        <v>15000</v>
      </c>
      <c r="Z103" s="85"/>
      <c r="AA103" s="85"/>
      <c r="AB103"/>
      <c r="AC103" s="85"/>
      <c r="AD103" s="85"/>
      <c r="AE103" s="85"/>
      <c r="AF103" s="85"/>
      <c r="AG103" s="85">
        <v>15000</v>
      </c>
      <c r="AH103"/>
      <c r="AI103" s="85">
        <v>13000</v>
      </c>
      <c r="AJ103" s="85">
        <v>10000</v>
      </c>
      <c r="AK103" s="85">
        <v>10000</v>
      </c>
      <c r="AL103" s="85">
        <v>10000</v>
      </c>
      <c r="AM103" s="85">
        <v>10000</v>
      </c>
      <c r="AN103" s="85">
        <v>10000</v>
      </c>
      <c r="AO103" s="85">
        <v>10000</v>
      </c>
      <c r="AP103" s="239"/>
    </row>
    <row r="104" spans="1:93" s="27" customFormat="1" ht="16.5" customHeight="1" x14ac:dyDescent="0.25">
      <c r="A104" s="5"/>
      <c r="B104" s="31" t="s">
        <v>90</v>
      </c>
      <c r="D104" s="84"/>
      <c r="E104" s="160"/>
      <c r="F104" s="182"/>
      <c r="G104" s="91"/>
      <c r="H104" s="91"/>
      <c r="I104"/>
      <c r="J104" s="96"/>
      <c r="K104" s="211"/>
      <c r="L104" s="96"/>
      <c r="M104" s="91"/>
      <c r="N104" s="160"/>
      <c r="O104"/>
      <c r="P104" s="91"/>
      <c r="Q104" s="243"/>
      <c r="R104" s="126"/>
      <c r="S104" s="84"/>
      <c r="T104" s="126"/>
      <c r="U104"/>
      <c r="V104" s="85"/>
      <c r="W104" s="84">
        <v>100</v>
      </c>
      <c r="X104" s="85"/>
      <c r="Y104" s="85"/>
      <c r="Z104" s="85"/>
      <c r="AA104" s="85"/>
      <c r="AB104"/>
      <c r="AC104" s="85"/>
      <c r="AD104" s="84"/>
      <c r="AE104" s="85"/>
      <c r="AF104" s="85"/>
      <c r="AG104" s="85">
        <v>100</v>
      </c>
      <c r="AH104"/>
      <c r="AI104" s="85">
        <v>100</v>
      </c>
      <c r="AJ104" s="85">
        <v>100</v>
      </c>
      <c r="AK104" s="85">
        <v>100</v>
      </c>
      <c r="AL104" s="85">
        <v>100</v>
      </c>
      <c r="AM104" s="85">
        <v>100</v>
      </c>
      <c r="AN104" s="85">
        <v>100</v>
      </c>
      <c r="AO104" s="85">
        <v>100</v>
      </c>
      <c r="AP104" s="239"/>
    </row>
    <row r="105" spans="1:93" s="27" customFormat="1" ht="16.5" customHeight="1" x14ac:dyDescent="0.25">
      <c r="A105" s="10"/>
      <c r="B105" s="31" t="s">
        <v>91</v>
      </c>
      <c r="D105" s="85"/>
      <c r="E105" s="89"/>
      <c r="F105" s="168">
        <v>58.85</v>
      </c>
      <c r="G105" s="91"/>
      <c r="H105" s="168">
        <f>SUM(D105:G105)</f>
        <v>58.85</v>
      </c>
      <c r="I105"/>
      <c r="J105" s="89"/>
      <c r="K105" s="206"/>
      <c r="L105" s="214">
        <v>58.85</v>
      </c>
      <c r="M105" s="91"/>
      <c r="N105" s="168">
        <f>SUM(J105:M105)</f>
        <v>58.85</v>
      </c>
      <c r="O105"/>
      <c r="P105" s="215"/>
      <c r="Q105" s="164"/>
      <c r="R105" s="85"/>
      <c r="S105" s="133">
        <f>L105</f>
        <v>58.85</v>
      </c>
      <c r="T105" s="126"/>
      <c r="U105"/>
      <c r="V105" s="85"/>
      <c r="W105" s="85"/>
      <c r="X105" s="85"/>
      <c r="Y105" s="85"/>
      <c r="Z105" s="85">
        <f>S105</f>
        <v>58.85</v>
      </c>
      <c r="AA105" s="85"/>
      <c r="AB105"/>
      <c r="AC105" s="85"/>
      <c r="AD105" s="85"/>
      <c r="AE105" s="85"/>
      <c r="AF105" s="85"/>
      <c r="AG105" s="85">
        <f>Z105</f>
        <v>58.85</v>
      </c>
      <c r="AH105"/>
      <c r="AI105" s="85">
        <f>AG105</f>
        <v>58.85</v>
      </c>
      <c r="AJ105" s="85">
        <f t="shared" ref="AJ105:AO105" si="16">AI105</f>
        <v>58.85</v>
      </c>
      <c r="AK105" s="85">
        <f t="shared" si="16"/>
        <v>58.85</v>
      </c>
      <c r="AL105" s="85">
        <f t="shared" si="16"/>
        <v>58.85</v>
      </c>
      <c r="AM105" s="85">
        <f t="shared" si="16"/>
        <v>58.85</v>
      </c>
      <c r="AN105" s="85">
        <f t="shared" si="16"/>
        <v>58.85</v>
      </c>
      <c r="AO105" s="85">
        <f t="shared" si="16"/>
        <v>58.85</v>
      </c>
      <c r="AP105" s="239"/>
    </row>
    <row r="106" spans="1:93" s="27" customFormat="1" ht="16.5" customHeight="1" x14ac:dyDescent="0.25">
      <c r="A106" s="10"/>
      <c r="B106" s="31" t="s">
        <v>92</v>
      </c>
      <c r="D106" s="85"/>
      <c r="E106" s="89"/>
      <c r="F106" s="172"/>
      <c r="G106" s="89"/>
      <c r="H106" s="89"/>
      <c r="I106"/>
      <c r="J106" s="89"/>
      <c r="K106" s="164"/>
      <c r="L106" s="204"/>
      <c r="M106" s="89"/>
      <c r="N106" s="91"/>
      <c r="O106"/>
      <c r="P106" s="89"/>
      <c r="Q106" s="220"/>
      <c r="R106" s="157"/>
      <c r="S106" s="157"/>
      <c r="T106" s="126"/>
      <c r="U106"/>
      <c r="V106" s="85"/>
      <c r="W106" s="85"/>
      <c r="X106" s="85"/>
      <c r="Y106" s="85"/>
      <c r="Z106" s="85"/>
      <c r="AA106" s="85"/>
      <c r="AB106"/>
      <c r="AC106" s="85"/>
      <c r="AD106" s="85"/>
      <c r="AE106" s="85"/>
      <c r="AF106" s="85"/>
      <c r="AG106" s="85">
        <v>0</v>
      </c>
      <c r="AH106"/>
      <c r="AI106" s="85">
        <v>0</v>
      </c>
      <c r="AJ106" s="85">
        <v>0</v>
      </c>
      <c r="AK106" s="85">
        <v>0</v>
      </c>
      <c r="AL106" s="85">
        <v>5350</v>
      </c>
      <c r="AM106" s="85">
        <v>0</v>
      </c>
      <c r="AN106" s="85">
        <v>0</v>
      </c>
      <c r="AO106" s="85">
        <v>0</v>
      </c>
      <c r="AP106" s="239"/>
    </row>
    <row r="107" spans="1:93" s="27" customFormat="1" ht="16.5" customHeight="1" x14ac:dyDescent="0.25">
      <c r="A107" s="10"/>
      <c r="B107" s="31" t="s">
        <v>93</v>
      </c>
      <c r="D107" s="85"/>
      <c r="E107" s="89"/>
      <c r="F107" s="172"/>
      <c r="G107" s="168">
        <v>6583.02</v>
      </c>
      <c r="H107" s="168">
        <f>SUM(D107:G107)</f>
        <v>6583.02</v>
      </c>
      <c r="I107"/>
      <c r="J107" s="203"/>
      <c r="K107" s="157"/>
      <c r="L107" s="209"/>
      <c r="M107" s="168">
        <v>6796.62</v>
      </c>
      <c r="N107" s="168">
        <f>SUM(J107:M107)</f>
        <v>6796.62</v>
      </c>
      <c r="O107"/>
      <c r="P107" s="168"/>
      <c r="Q107" s="220"/>
      <c r="R107" s="89"/>
      <c r="S107" s="89">
        <f>M107</f>
        <v>6796.62</v>
      </c>
      <c r="T107" s="156"/>
      <c r="U107"/>
      <c r="V107" s="85">
        <f>S107</f>
        <v>6796.62</v>
      </c>
      <c r="W107" s="85"/>
      <c r="X107" s="85"/>
      <c r="Y107" s="85"/>
      <c r="Z107" s="85"/>
      <c r="AA107" s="85"/>
      <c r="AB107"/>
      <c r="AC107" s="85"/>
      <c r="AD107" s="85"/>
      <c r="AE107" s="85"/>
      <c r="AF107" s="85"/>
      <c r="AG107" s="85">
        <f>V107</f>
        <v>6796.62</v>
      </c>
      <c r="AH107"/>
      <c r="AI107" s="85">
        <f t="shared" ref="AI107" si="17">AG107</f>
        <v>6796.62</v>
      </c>
      <c r="AJ107" s="85">
        <f>AI107+4000</f>
        <v>10796.619999999999</v>
      </c>
      <c r="AK107" s="85">
        <f>AJ107</f>
        <v>10796.619999999999</v>
      </c>
      <c r="AL107" s="85">
        <f>AK107</f>
        <v>10796.619999999999</v>
      </c>
      <c r="AM107" s="85">
        <f>AL107</f>
        <v>10796.619999999999</v>
      </c>
      <c r="AN107" s="85">
        <f>AM107</f>
        <v>10796.619999999999</v>
      </c>
      <c r="AO107" s="85">
        <f>AN107</f>
        <v>10796.619999999999</v>
      </c>
      <c r="AP107" s="239"/>
    </row>
    <row r="108" spans="1:93" s="27" customFormat="1" ht="16.5" customHeight="1" x14ac:dyDescent="0.25">
      <c r="A108" s="10"/>
      <c r="B108" s="31" t="s">
        <v>94</v>
      </c>
      <c r="C108" s="5"/>
      <c r="D108" s="85"/>
      <c r="E108" s="89"/>
      <c r="F108" s="168"/>
      <c r="G108" s="237"/>
      <c r="H108" s="168"/>
      <c r="I108"/>
      <c r="J108" s="168"/>
      <c r="K108" s="89"/>
      <c r="L108" s="204"/>
      <c r="M108" s="170"/>
      <c r="N108" s="170"/>
      <c r="O108"/>
      <c r="P108" s="168">
        <v>12840</v>
      </c>
      <c r="Q108" s="214"/>
      <c r="R108" s="89"/>
      <c r="S108" s="89"/>
      <c r="T108" s="245"/>
      <c r="U108"/>
      <c r="V108" s="85"/>
      <c r="W108" s="85"/>
      <c r="X108" s="85"/>
      <c r="Y108" s="85"/>
      <c r="Z108" s="85"/>
      <c r="AA108" s="85"/>
      <c r="AB108"/>
      <c r="AC108" s="85"/>
      <c r="AD108" s="85"/>
      <c r="AE108" s="85"/>
      <c r="AF108" s="85"/>
      <c r="AG108" s="85"/>
      <c r="AH108"/>
      <c r="AI108" s="85"/>
      <c r="AJ108" s="85"/>
      <c r="AK108" s="85"/>
      <c r="AL108" s="85"/>
      <c r="AM108" s="85"/>
      <c r="AN108" s="85"/>
      <c r="AO108" s="85"/>
      <c r="AP108" s="239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</row>
    <row r="109" spans="1:93" s="27" customFormat="1" ht="16.5" customHeight="1" x14ac:dyDescent="0.25">
      <c r="A109" s="10"/>
      <c r="B109" s="31" t="s">
        <v>95</v>
      </c>
      <c r="D109" s="85"/>
      <c r="E109" s="89"/>
      <c r="F109" s="168">
        <v>10000</v>
      </c>
      <c r="G109" s="184"/>
      <c r="H109" s="168">
        <f t="shared" ref="H109:H110" si="18">SUM(D109:G109)</f>
        <v>10000</v>
      </c>
      <c r="I109"/>
      <c r="J109" s="168">
        <v>10000</v>
      </c>
      <c r="K109" s="89"/>
      <c r="L109" s="204"/>
      <c r="M109" s="168">
        <v>10000</v>
      </c>
      <c r="N109" s="168">
        <f>SUM(J109:M109)</f>
        <v>20000</v>
      </c>
      <c r="O109"/>
      <c r="P109" s="91"/>
      <c r="Q109" s="211"/>
      <c r="R109" s="168">
        <v>10000</v>
      </c>
      <c r="S109" s="91"/>
      <c r="T109" s="156"/>
      <c r="U109"/>
      <c r="V109" s="85">
        <v>10000</v>
      </c>
      <c r="W109" s="85"/>
      <c r="X109" s="85"/>
      <c r="Y109" s="85">
        <v>10000</v>
      </c>
      <c r="Z109" s="85"/>
      <c r="AA109" s="85"/>
      <c r="AB109"/>
      <c r="AC109" s="85"/>
      <c r="AD109" s="85"/>
      <c r="AE109" s="85"/>
      <c r="AF109" s="85"/>
      <c r="AG109" s="85">
        <v>16000</v>
      </c>
      <c r="AH109"/>
      <c r="AI109" s="85">
        <v>16000</v>
      </c>
      <c r="AJ109" s="85">
        <v>18000</v>
      </c>
      <c r="AK109" s="85">
        <v>18000</v>
      </c>
      <c r="AL109" s="85">
        <v>18000</v>
      </c>
      <c r="AM109" s="85">
        <v>18000</v>
      </c>
      <c r="AN109" s="85">
        <v>18000</v>
      </c>
      <c r="AO109" s="85">
        <v>18000</v>
      </c>
      <c r="AP109" s="239"/>
    </row>
    <row r="110" spans="1:93" s="27" customFormat="1" ht="16.5" customHeight="1" x14ac:dyDescent="0.25">
      <c r="A110" s="10"/>
      <c r="B110" s="31" t="s">
        <v>96</v>
      </c>
      <c r="D110" s="85"/>
      <c r="E110" s="89"/>
      <c r="F110" s="168">
        <v>10.6</v>
      </c>
      <c r="G110" s="91"/>
      <c r="H110" s="168">
        <f t="shared" si="18"/>
        <v>10.6</v>
      </c>
      <c r="I110"/>
      <c r="J110" s="196"/>
      <c r="K110" s="158"/>
      <c r="L110" s="209"/>
      <c r="M110" s="91"/>
      <c r="N110" s="168"/>
      <c r="O110"/>
      <c r="P110" s="168">
        <v>118.69</v>
      </c>
      <c r="Q110" s="220"/>
      <c r="R110" s="89"/>
      <c r="S110" s="89"/>
      <c r="T110" s="156"/>
      <c r="U110"/>
      <c r="V110" s="85"/>
      <c r="W110" s="85"/>
      <c r="X110" s="85"/>
      <c r="Y110" s="85"/>
      <c r="Z110" s="85"/>
      <c r="AA110" s="85"/>
      <c r="AB110"/>
      <c r="AC110" s="85"/>
      <c r="AD110" s="85"/>
      <c r="AE110" s="85"/>
      <c r="AF110" s="85"/>
      <c r="AG110" s="85"/>
      <c r="AH110"/>
      <c r="AI110" s="85"/>
      <c r="AJ110" s="85"/>
      <c r="AK110" s="85"/>
      <c r="AL110" s="85"/>
      <c r="AM110" s="85"/>
      <c r="AN110" s="85"/>
      <c r="AO110" s="85"/>
      <c r="AP110" s="239"/>
    </row>
    <row r="111" spans="1:93" s="27" customFormat="1" ht="16.5" customHeight="1" x14ac:dyDescent="0.25">
      <c r="A111" s="10"/>
      <c r="B111" s="31" t="s">
        <v>97</v>
      </c>
      <c r="D111" s="85"/>
      <c r="E111" s="168">
        <v>1078.1600000000001</v>
      </c>
      <c r="F111" s="180"/>
      <c r="G111" s="91"/>
      <c r="H111" s="168">
        <f>SUM(D111:G111)</f>
        <v>1078.1600000000001</v>
      </c>
      <c r="I111"/>
      <c r="J111" s="89"/>
      <c r="K111" s="164"/>
      <c r="L111" s="214">
        <v>1134.92</v>
      </c>
      <c r="M111" s="91"/>
      <c r="N111" s="168">
        <f>SUM(J111:M111)</f>
        <v>1134.92</v>
      </c>
      <c r="O111"/>
      <c r="P111" s="158"/>
      <c r="Q111" s="242">
        <v>1467.89</v>
      </c>
      <c r="R111" s="91"/>
      <c r="S111" s="89"/>
      <c r="T111" s="156"/>
      <c r="U111"/>
      <c r="V111" s="85"/>
      <c r="W111" s="85"/>
      <c r="X111" s="85">
        <f>Q111</f>
        <v>1467.89</v>
      </c>
      <c r="Y111" s="85"/>
      <c r="Z111" s="85"/>
      <c r="AA111" s="85"/>
      <c r="AB111"/>
      <c r="AC111" s="85"/>
      <c r="AD111" s="85"/>
      <c r="AE111" s="85"/>
      <c r="AF111" s="85"/>
      <c r="AG111" s="85">
        <f>X111</f>
        <v>1467.89</v>
      </c>
      <c r="AH111"/>
      <c r="AI111" s="85">
        <f>AG111</f>
        <v>1467.89</v>
      </c>
      <c r="AJ111" s="85">
        <f t="shared" ref="AJ111:AO111" si="19">AI111</f>
        <v>1467.89</v>
      </c>
      <c r="AK111" s="85">
        <f t="shared" si="19"/>
        <v>1467.89</v>
      </c>
      <c r="AL111" s="85">
        <f t="shared" si="19"/>
        <v>1467.89</v>
      </c>
      <c r="AM111" s="85">
        <f t="shared" si="19"/>
        <v>1467.89</v>
      </c>
      <c r="AN111" s="85">
        <f t="shared" si="19"/>
        <v>1467.89</v>
      </c>
      <c r="AO111" s="85">
        <f t="shared" si="19"/>
        <v>1467.89</v>
      </c>
      <c r="AP111" s="239"/>
    </row>
    <row r="112" spans="1:93" s="27" customFormat="1" ht="16.5" customHeight="1" x14ac:dyDescent="0.25">
      <c r="A112" s="10"/>
      <c r="B112" s="31" t="s">
        <v>98</v>
      </c>
      <c r="D112" s="85"/>
      <c r="E112" s="89"/>
      <c r="F112" s="172"/>
      <c r="G112" s="89"/>
      <c r="H112" s="89"/>
      <c r="I112"/>
      <c r="J112" s="89"/>
      <c r="K112" s="85"/>
      <c r="L112" s="206"/>
      <c r="M112" s="89"/>
      <c r="N112" s="89"/>
      <c r="O112"/>
      <c r="P112" s="85"/>
      <c r="Q112" s="164"/>
      <c r="R112" s="89"/>
      <c r="S112" s="89"/>
      <c r="T112" s="156"/>
      <c r="U112"/>
      <c r="V112" s="85"/>
      <c r="W112" s="85"/>
      <c r="X112" s="85">
        <v>5000</v>
      </c>
      <c r="Y112" s="85"/>
      <c r="Z112" s="85"/>
      <c r="AA112" s="85"/>
      <c r="AB112"/>
      <c r="AC112" s="85"/>
      <c r="AD112" s="85"/>
      <c r="AE112" s="85"/>
      <c r="AF112" s="85"/>
      <c r="AG112" s="85">
        <v>0</v>
      </c>
      <c r="AH112"/>
      <c r="AI112" s="85">
        <v>0</v>
      </c>
      <c r="AJ112" s="85">
        <v>0</v>
      </c>
      <c r="AK112" s="85">
        <v>0</v>
      </c>
      <c r="AL112" s="85">
        <v>0</v>
      </c>
      <c r="AM112" s="85">
        <v>9000</v>
      </c>
      <c r="AN112" s="85">
        <v>1000</v>
      </c>
      <c r="AO112" s="85">
        <v>1000</v>
      </c>
      <c r="AP112" s="239"/>
    </row>
    <row r="113" spans="1:54" s="27" customFormat="1" ht="16.5" customHeight="1" x14ac:dyDescent="0.25">
      <c r="A113" s="5"/>
      <c r="B113" s="31" t="s">
        <v>99</v>
      </c>
      <c r="D113" s="85"/>
      <c r="E113" s="89"/>
      <c r="F113" s="172"/>
      <c r="G113" s="89"/>
      <c r="H113" s="89"/>
      <c r="I113"/>
      <c r="J113" s="89"/>
      <c r="K113" s="85"/>
      <c r="L113" s="164"/>
      <c r="M113" s="89"/>
      <c r="N113" s="89"/>
      <c r="O113"/>
      <c r="P113" s="85"/>
      <c r="Q113" s="85"/>
      <c r="R113" s="206"/>
      <c r="S113" s="158"/>
      <c r="T113" s="126"/>
      <c r="U113"/>
      <c r="V113" s="85"/>
      <c r="W113" s="85"/>
      <c r="X113" s="85"/>
      <c r="Y113" s="85"/>
      <c r="Z113" s="85"/>
      <c r="AA113" s="85"/>
      <c r="AB113"/>
      <c r="AC113" s="85"/>
      <c r="AD113" s="85"/>
      <c r="AE113" s="85"/>
      <c r="AF113" s="85"/>
      <c r="AG113" s="85">
        <v>0</v>
      </c>
      <c r="AH113"/>
      <c r="AI113" s="85">
        <v>0</v>
      </c>
      <c r="AJ113" s="85">
        <v>0</v>
      </c>
      <c r="AK113" s="85">
        <v>7000</v>
      </c>
      <c r="AL113" s="85">
        <v>0</v>
      </c>
      <c r="AM113" s="85">
        <v>0</v>
      </c>
      <c r="AN113" s="85">
        <v>0</v>
      </c>
      <c r="AO113" s="85">
        <v>0</v>
      </c>
      <c r="AP113" s="239"/>
    </row>
    <row r="114" spans="1:54" s="27" customFormat="1" ht="16.5" customHeight="1" x14ac:dyDescent="0.25">
      <c r="A114" s="5"/>
      <c r="B114" s="31" t="s">
        <v>100</v>
      </c>
      <c r="D114" s="85"/>
      <c r="E114" s="89"/>
      <c r="F114" s="172"/>
      <c r="G114" s="89"/>
      <c r="H114" s="89"/>
      <c r="I114"/>
      <c r="J114" s="89"/>
      <c r="K114" s="85"/>
      <c r="L114" s="164"/>
      <c r="M114" s="196"/>
      <c r="N114" s="89"/>
      <c r="O114"/>
      <c r="P114" s="89"/>
      <c r="Q114" s="85"/>
      <c r="R114" s="235"/>
      <c r="S114" s="85"/>
      <c r="T114" s="126"/>
      <c r="U114"/>
      <c r="V114" s="85"/>
      <c r="W114" s="85"/>
      <c r="X114" s="85"/>
      <c r="Y114" s="85"/>
      <c r="Z114" s="85"/>
      <c r="AA114" s="85"/>
      <c r="AB114"/>
      <c r="AC114" s="85"/>
      <c r="AD114" s="85"/>
      <c r="AE114" s="85"/>
      <c r="AF114" s="85"/>
      <c r="AG114" s="85">
        <v>20000</v>
      </c>
      <c r="AH114"/>
      <c r="AI114" s="85">
        <v>0</v>
      </c>
      <c r="AJ114" s="85">
        <v>0</v>
      </c>
      <c r="AK114" s="85">
        <v>0</v>
      </c>
      <c r="AL114" s="85">
        <v>0</v>
      </c>
      <c r="AM114" s="85">
        <v>0</v>
      </c>
      <c r="AN114" s="85">
        <v>0</v>
      </c>
      <c r="AO114" s="85">
        <v>0</v>
      </c>
      <c r="AP114" s="239"/>
    </row>
    <row r="115" spans="1:54" s="27" customFormat="1" ht="16.5" customHeight="1" x14ac:dyDescent="0.25">
      <c r="A115" s="5"/>
      <c r="B115" s="31" t="s">
        <v>101</v>
      </c>
      <c r="D115" s="157"/>
      <c r="E115" s="89"/>
      <c r="F115" s="180"/>
      <c r="G115" s="159">
        <v>13960</v>
      </c>
      <c r="H115" s="168">
        <f>SUM(D115:G115)</f>
        <v>13960</v>
      </c>
      <c r="I115"/>
      <c r="J115" s="203"/>
      <c r="K115" s="157"/>
      <c r="L115" s="185"/>
      <c r="M115" s="222">
        <v>13942</v>
      </c>
      <c r="N115" s="168">
        <f>SUM(J115:M115)</f>
        <v>13942</v>
      </c>
      <c r="O115"/>
      <c r="P115" s="91"/>
      <c r="Q115" s="85"/>
      <c r="R115" s="164"/>
      <c r="S115" s="133">
        <v>16058</v>
      </c>
      <c r="T115" s="126"/>
      <c r="U115"/>
      <c r="V115" s="85"/>
      <c r="W115" s="85"/>
      <c r="X115" s="85"/>
      <c r="Y115" s="85"/>
      <c r="Z115" s="85">
        <v>15000</v>
      </c>
      <c r="AA115" s="85"/>
      <c r="AB115"/>
      <c r="AC115" s="85"/>
      <c r="AD115" s="85"/>
      <c r="AE115" s="85"/>
      <c r="AF115" s="85"/>
      <c r="AG115" s="85">
        <v>15000</v>
      </c>
      <c r="AH115"/>
      <c r="AI115" s="85">
        <v>15000</v>
      </c>
      <c r="AJ115" s="85">
        <v>15000</v>
      </c>
      <c r="AK115" s="85">
        <v>15000</v>
      </c>
      <c r="AL115" s="85">
        <v>15000</v>
      </c>
      <c r="AM115" s="85">
        <v>15000</v>
      </c>
      <c r="AN115" s="85">
        <v>15000</v>
      </c>
      <c r="AO115" s="85">
        <v>15000</v>
      </c>
      <c r="AP115" s="239"/>
    </row>
    <row r="116" spans="1:54" s="27" customFormat="1" ht="16.5" customHeight="1" x14ac:dyDescent="0.25">
      <c r="A116" s="10"/>
      <c r="B116" s="31" t="s">
        <v>102</v>
      </c>
      <c r="D116" s="159">
        <v>264</v>
      </c>
      <c r="E116" s="91"/>
      <c r="F116" s="172"/>
      <c r="G116" s="91"/>
      <c r="H116" s="168">
        <f>SUM(D116:G116)</f>
        <v>264</v>
      </c>
      <c r="I116"/>
      <c r="J116" s="168">
        <v>288</v>
      </c>
      <c r="K116" s="204"/>
      <c r="L116" s="204"/>
      <c r="M116" s="91"/>
      <c r="N116" s="168">
        <f>SUM(J116:M116)</f>
        <v>288</v>
      </c>
      <c r="O116"/>
      <c r="P116" s="168">
        <v>320</v>
      </c>
      <c r="Q116" s="89"/>
      <c r="R116" s="204"/>
      <c r="S116" s="126"/>
      <c r="T116" s="126"/>
      <c r="U116"/>
      <c r="V116" s="85"/>
      <c r="W116" s="85"/>
      <c r="X116" s="85">
        <v>230</v>
      </c>
      <c r="Y116" s="85"/>
      <c r="Z116" s="85"/>
      <c r="AA116" s="85"/>
      <c r="AB116"/>
      <c r="AC116" s="85"/>
      <c r="AD116" s="85"/>
      <c r="AE116" s="85"/>
      <c r="AF116" s="85"/>
      <c r="AG116" s="85">
        <v>230</v>
      </c>
      <c r="AH116"/>
      <c r="AI116" s="85">
        <v>230</v>
      </c>
      <c r="AJ116" s="85">
        <v>230</v>
      </c>
      <c r="AK116" s="85">
        <v>230</v>
      </c>
      <c r="AL116" s="85">
        <v>230</v>
      </c>
      <c r="AM116" s="85">
        <v>230</v>
      </c>
      <c r="AN116" s="85">
        <v>230</v>
      </c>
      <c r="AO116" s="85">
        <v>230</v>
      </c>
      <c r="AP116" s="239"/>
    </row>
    <row r="117" spans="1:54" s="27" customFormat="1" ht="16.5" customHeight="1" x14ac:dyDescent="0.25">
      <c r="A117" s="10"/>
      <c r="B117" s="31" t="s">
        <v>103</v>
      </c>
      <c r="C117" s="5"/>
      <c r="D117" s="158"/>
      <c r="E117" s="89"/>
      <c r="F117" s="172"/>
      <c r="G117" s="89"/>
      <c r="H117" s="89"/>
      <c r="I117"/>
      <c r="J117" s="196"/>
      <c r="K117" s="206"/>
      <c r="L117" s="204"/>
      <c r="M117" s="89"/>
      <c r="N117" s="89"/>
      <c r="O117"/>
      <c r="P117" s="89"/>
      <c r="Q117" s="89"/>
      <c r="R117" s="185"/>
      <c r="S117" s="85"/>
      <c r="T117" s="126"/>
      <c r="U117"/>
      <c r="V117" s="85"/>
      <c r="W117" s="85"/>
      <c r="X117" s="85"/>
      <c r="Y117" s="85"/>
      <c r="Z117" s="85"/>
      <c r="AA117" s="85"/>
      <c r="AB117"/>
      <c r="AC117" s="85"/>
      <c r="AD117" s="85"/>
      <c r="AE117" s="85"/>
      <c r="AF117" s="85"/>
      <c r="AG117" s="85">
        <v>0</v>
      </c>
      <c r="AH117"/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85">
        <v>24300</v>
      </c>
      <c r="AO117" s="85">
        <v>0</v>
      </c>
      <c r="AP117" s="239"/>
      <c r="AQ117" s="5"/>
      <c r="AR117" s="5"/>
      <c r="AS117" s="5"/>
      <c r="AT117" s="5"/>
      <c r="AU117" s="5"/>
    </row>
    <row r="118" spans="1:54" s="27" customFormat="1" ht="16.5" customHeight="1" x14ac:dyDescent="0.25">
      <c r="A118" s="10"/>
      <c r="B118" s="31" t="s">
        <v>104</v>
      </c>
      <c r="D118" s="85"/>
      <c r="E118" s="89"/>
      <c r="F118" s="168">
        <v>2800</v>
      </c>
      <c r="G118" s="91"/>
      <c r="H118" s="168">
        <f t="shared" ref="H118:H120" si="20">SUM(D118:G118)</f>
        <v>2800</v>
      </c>
      <c r="I118"/>
      <c r="J118" s="91"/>
      <c r="K118" s="164"/>
      <c r="L118" s="211"/>
      <c r="M118" s="91"/>
      <c r="N118" s="89"/>
      <c r="O118"/>
      <c r="P118" s="91"/>
      <c r="Q118" s="213">
        <v>4062.5</v>
      </c>
      <c r="R118" s="246"/>
      <c r="S118" s="126"/>
      <c r="T118" s="126"/>
      <c r="U118"/>
      <c r="V118" s="133">
        <f>6660+35</f>
        <v>6695</v>
      </c>
      <c r="W118" s="85"/>
      <c r="X118" s="85"/>
      <c r="Y118" s="85"/>
      <c r="Z118" s="85"/>
      <c r="AA118" s="85"/>
      <c r="AB118"/>
      <c r="AC118" s="133"/>
      <c r="AD118" s="85"/>
      <c r="AE118" s="85"/>
      <c r="AF118" s="85"/>
      <c r="AG118" s="85">
        <v>3750</v>
      </c>
      <c r="AH118"/>
      <c r="AI118" s="85">
        <v>3750</v>
      </c>
      <c r="AJ118" s="85">
        <v>3750</v>
      </c>
      <c r="AK118" s="85">
        <v>3750</v>
      </c>
      <c r="AL118" s="85">
        <v>3750</v>
      </c>
      <c r="AM118" s="85">
        <v>3750</v>
      </c>
      <c r="AN118" s="85">
        <v>3750</v>
      </c>
      <c r="AO118" s="85">
        <v>3750</v>
      </c>
      <c r="AP118" s="239"/>
    </row>
    <row r="119" spans="1:54" s="27" customFormat="1" ht="16.5" customHeight="1" x14ac:dyDescent="0.25">
      <c r="A119" s="10"/>
      <c r="B119" s="31" t="s">
        <v>105</v>
      </c>
      <c r="D119" s="85"/>
      <c r="E119" s="89"/>
      <c r="F119" s="168">
        <v>31111.32</v>
      </c>
      <c r="G119" s="89"/>
      <c r="H119" s="168">
        <f t="shared" si="20"/>
        <v>31111.32</v>
      </c>
      <c r="I119"/>
      <c r="J119" s="89"/>
      <c r="K119" s="164"/>
      <c r="L119" s="214">
        <v>33167.68</v>
      </c>
      <c r="M119" s="89"/>
      <c r="N119" s="168">
        <f>SUM(J119:M119)</f>
        <v>33167.68</v>
      </c>
      <c r="O119"/>
      <c r="P119" s="204"/>
      <c r="Q119" s="91"/>
      <c r="R119" s="159">
        <v>24266.880000000001</v>
      </c>
      <c r="S119" s="165"/>
      <c r="T119" s="126"/>
      <c r="U119"/>
      <c r="V119" s="85"/>
      <c r="W119" s="85"/>
      <c r="X119" s="85"/>
      <c r="Y119" s="85">
        <f>R119</f>
        <v>24266.880000000001</v>
      </c>
      <c r="Z119" s="85"/>
      <c r="AA119" s="85"/>
      <c r="AB119"/>
      <c r="AC119" s="85"/>
      <c r="AD119" s="85"/>
      <c r="AE119" s="85"/>
      <c r="AF119" s="85"/>
      <c r="AG119" s="85">
        <f>Y119</f>
        <v>24266.880000000001</v>
      </c>
      <c r="AH119"/>
      <c r="AI119" s="85">
        <f>AG119</f>
        <v>24266.880000000001</v>
      </c>
      <c r="AJ119" s="85">
        <f t="shared" ref="AJ119:AO119" si="21">AI119</f>
        <v>24266.880000000001</v>
      </c>
      <c r="AK119" s="85">
        <f t="shared" si="21"/>
        <v>24266.880000000001</v>
      </c>
      <c r="AL119" s="85">
        <f t="shared" si="21"/>
        <v>24266.880000000001</v>
      </c>
      <c r="AM119" s="85">
        <f t="shared" si="21"/>
        <v>24266.880000000001</v>
      </c>
      <c r="AN119" s="85">
        <f t="shared" si="21"/>
        <v>24266.880000000001</v>
      </c>
      <c r="AO119" s="85">
        <f t="shared" si="21"/>
        <v>24266.880000000001</v>
      </c>
      <c r="AP119" s="239"/>
    </row>
    <row r="120" spans="1:54" s="27" customFormat="1" ht="16.5" customHeight="1" x14ac:dyDescent="0.25">
      <c r="A120" s="10"/>
      <c r="B120" s="31" t="s">
        <v>106</v>
      </c>
      <c r="D120" s="85"/>
      <c r="E120" s="89"/>
      <c r="F120" s="172"/>
      <c r="G120" s="168">
        <v>1157.25</v>
      </c>
      <c r="H120" s="168">
        <f t="shared" si="20"/>
        <v>1157.25</v>
      </c>
      <c r="I120"/>
      <c r="J120" s="89"/>
      <c r="K120" s="164"/>
      <c r="L120" s="204"/>
      <c r="M120" s="89"/>
      <c r="N120" s="89"/>
      <c r="O120"/>
      <c r="P120" s="89"/>
      <c r="Q120" s="196"/>
      <c r="R120" s="206"/>
      <c r="S120" s="126"/>
      <c r="T120" s="126"/>
      <c r="U120"/>
      <c r="V120" s="85">
        <v>2025</v>
      </c>
      <c r="W120" s="85"/>
      <c r="X120" s="85"/>
      <c r="Y120" s="85"/>
      <c r="Z120" s="85"/>
      <c r="AA120" s="85"/>
      <c r="AB120"/>
      <c r="AC120" s="85"/>
      <c r="AD120" s="85"/>
      <c r="AE120" s="85"/>
      <c r="AF120" s="85"/>
      <c r="AG120" s="85"/>
      <c r="AH120"/>
      <c r="AI120" s="85">
        <v>2025</v>
      </c>
      <c r="AJ120" s="85">
        <v>0</v>
      </c>
      <c r="AK120" s="85">
        <v>0</v>
      </c>
      <c r="AL120" s="85">
        <v>2025</v>
      </c>
      <c r="AM120" s="85">
        <v>0</v>
      </c>
      <c r="AN120" s="85">
        <v>0</v>
      </c>
      <c r="AO120" s="85">
        <v>2025</v>
      </c>
      <c r="AP120" s="239"/>
    </row>
    <row r="121" spans="1:54" s="27" customFormat="1" ht="16.5" customHeight="1" x14ac:dyDescent="0.25">
      <c r="A121" s="10"/>
      <c r="B121" s="31" t="s">
        <v>107</v>
      </c>
      <c r="D121" s="85"/>
      <c r="E121" s="89"/>
      <c r="F121" s="172"/>
      <c r="G121" s="89"/>
      <c r="H121" s="89"/>
      <c r="I121"/>
      <c r="J121" s="89"/>
      <c r="K121" s="85"/>
      <c r="L121" s="158"/>
      <c r="M121" s="215"/>
      <c r="N121" s="89"/>
      <c r="O121"/>
      <c r="P121" s="89"/>
      <c r="Q121" s="89"/>
      <c r="R121" s="220"/>
      <c r="S121" s="126"/>
      <c r="T121" s="126"/>
      <c r="U121"/>
      <c r="V121" s="85"/>
      <c r="W121" s="85"/>
      <c r="X121" s="85"/>
      <c r="Y121" s="85"/>
      <c r="Z121" s="85"/>
      <c r="AA121" s="85"/>
      <c r="AB121"/>
      <c r="AC121" s="85"/>
      <c r="AD121" s="85"/>
      <c r="AE121" s="85"/>
      <c r="AF121" s="85"/>
      <c r="AG121" s="85">
        <v>0</v>
      </c>
      <c r="AH121"/>
      <c r="AI121" s="85">
        <v>0</v>
      </c>
      <c r="AJ121" s="85">
        <v>1400</v>
      </c>
      <c r="AK121" s="85">
        <v>0</v>
      </c>
      <c r="AL121" s="85">
        <v>0</v>
      </c>
      <c r="AM121" s="85">
        <v>0</v>
      </c>
      <c r="AN121" s="85">
        <v>0</v>
      </c>
      <c r="AO121" s="85">
        <v>0</v>
      </c>
      <c r="AP121" s="239"/>
    </row>
    <row r="122" spans="1:54" s="27" customFormat="1" ht="16.5" customHeight="1" x14ac:dyDescent="0.25">
      <c r="A122" s="10"/>
      <c r="B122" s="31" t="s">
        <v>108</v>
      </c>
      <c r="C122" s="5"/>
      <c r="D122" s="85"/>
      <c r="E122" s="89"/>
      <c r="F122" s="172"/>
      <c r="G122" s="168">
        <v>590.66</v>
      </c>
      <c r="H122" s="168">
        <f t="shared" ref="H122" si="22">SUM(D122:G122)</f>
        <v>590.66</v>
      </c>
      <c r="I122"/>
      <c r="J122" s="89"/>
      <c r="K122" s="85"/>
      <c r="L122" s="164"/>
      <c r="M122" s="91"/>
      <c r="N122" s="91"/>
      <c r="O122"/>
      <c r="P122" s="168">
        <v>648.45000000000005</v>
      </c>
      <c r="Q122" s="91"/>
      <c r="R122" s="220"/>
      <c r="S122" s="126"/>
      <c r="T122" s="126"/>
      <c r="U122"/>
      <c r="V122" s="85">
        <v>741</v>
      </c>
      <c r="W122" s="85"/>
      <c r="X122" s="85">
        <v>799.5</v>
      </c>
      <c r="Y122" s="85"/>
      <c r="Z122" s="85"/>
      <c r="AA122" s="85"/>
      <c r="AB122"/>
      <c r="AC122" s="85"/>
      <c r="AD122" s="85"/>
      <c r="AE122" s="85"/>
      <c r="AF122" s="85"/>
      <c r="AG122" s="85">
        <v>838.5</v>
      </c>
      <c r="AH122"/>
      <c r="AI122" s="85">
        <v>897</v>
      </c>
      <c r="AJ122" s="85">
        <v>936</v>
      </c>
      <c r="AK122" s="85">
        <v>936</v>
      </c>
      <c r="AL122" s="85">
        <v>975</v>
      </c>
      <c r="AM122" s="85">
        <v>994.5</v>
      </c>
      <c r="AN122" s="85">
        <v>1014</v>
      </c>
      <c r="AO122" s="85">
        <v>1014</v>
      </c>
      <c r="AP122" s="239"/>
      <c r="AQ122" s="5"/>
      <c r="AR122" s="5"/>
      <c r="AS122" s="5"/>
      <c r="AT122" s="5"/>
      <c r="AU122" s="5"/>
    </row>
    <row r="123" spans="1:54" s="27" customFormat="1" ht="16.5" customHeight="1" x14ac:dyDescent="0.25">
      <c r="A123" s="10"/>
      <c r="B123" s="31" t="s">
        <v>109</v>
      </c>
      <c r="D123" s="132">
        <v>6000</v>
      </c>
      <c r="E123" s="85"/>
      <c r="F123" s="181"/>
      <c r="G123" s="185"/>
      <c r="H123" s="134">
        <f>SUM(D123:G123)</f>
        <v>6000</v>
      </c>
      <c r="I123"/>
      <c r="J123" s="89"/>
      <c r="K123" s="85"/>
      <c r="L123" s="164"/>
      <c r="M123" s="89"/>
      <c r="N123" s="89"/>
      <c r="O123"/>
      <c r="P123" s="85"/>
      <c r="Q123" s="85"/>
      <c r="R123" s="85"/>
      <c r="S123" s="85"/>
      <c r="T123" s="85"/>
      <c r="U123"/>
      <c r="V123" s="85"/>
      <c r="W123" s="85"/>
      <c r="X123" s="85"/>
      <c r="Y123" s="85"/>
      <c r="Z123" s="85"/>
      <c r="AA123" s="85"/>
      <c r="AB123"/>
      <c r="AC123" s="85"/>
      <c r="AD123" s="85"/>
      <c r="AE123" s="85"/>
      <c r="AF123" s="85"/>
      <c r="AG123" s="85">
        <v>5500</v>
      </c>
      <c r="AH123"/>
      <c r="AI123" s="85">
        <v>5500</v>
      </c>
      <c r="AJ123" s="85">
        <v>5500</v>
      </c>
      <c r="AK123" s="85">
        <v>0</v>
      </c>
      <c r="AL123" s="85">
        <v>0</v>
      </c>
      <c r="AM123" s="85">
        <v>5500</v>
      </c>
      <c r="AN123" s="85">
        <v>5500</v>
      </c>
      <c r="AO123" s="85">
        <v>5500</v>
      </c>
      <c r="AP123" s="239"/>
    </row>
    <row r="124" spans="1:54" s="27" customFormat="1" ht="16.5" customHeight="1" x14ac:dyDescent="0.25">
      <c r="A124" s="10"/>
      <c r="B124" s="31" t="s">
        <v>110</v>
      </c>
      <c r="D124" s="85"/>
      <c r="E124" s="164"/>
      <c r="F124" s="180"/>
      <c r="G124" s="211"/>
      <c r="H124" s="85"/>
      <c r="I124"/>
      <c r="J124" s="91"/>
      <c r="K124" s="168">
        <v>1000</v>
      </c>
      <c r="L124" s="164"/>
      <c r="M124" s="91"/>
      <c r="N124" s="168">
        <f>SUM(J124:M124)</f>
        <v>1000</v>
      </c>
      <c r="O124"/>
      <c r="P124" s="134">
        <v>750</v>
      </c>
      <c r="Q124" s="85"/>
      <c r="R124" s="85"/>
      <c r="S124" s="85"/>
      <c r="T124" s="126"/>
      <c r="U124"/>
      <c r="V124" s="85"/>
      <c r="W124" s="85"/>
      <c r="X124" s="85"/>
      <c r="Y124" s="85"/>
      <c r="Z124" s="85">
        <v>1000</v>
      </c>
      <c r="AA124" s="85"/>
      <c r="AB124"/>
      <c r="AC124" s="85"/>
      <c r="AD124" s="85"/>
      <c r="AE124" s="85"/>
      <c r="AF124" s="85"/>
      <c r="AG124" s="85">
        <v>2700</v>
      </c>
      <c r="AH124"/>
      <c r="AI124" s="85">
        <v>2700</v>
      </c>
      <c r="AJ124" s="85">
        <v>2700</v>
      </c>
      <c r="AK124" s="85">
        <v>0</v>
      </c>
      <c r="AL124" s="85">
        <v>0</v>
      </c>
      <c r="AM124" s="85">
        <v>0</v>
      </c>
      <c r="AN124" s="85">
        <v>0</v>
      </c>
      <c r="AO124" s="85">
        <v>0</v>
      </c>
      <c r="AP124" s="239"/>
    </row>
    <row r="125" spans="1:54" s="27" customFormat="1" ht="16.5" customHeight="1" x14ac:dyDescent="0.25">
      <c r="A125" s="10"/>
      <c r="B125" s="31" t="s">
        <v>111</v>
      </c>
      <c r="D125" s="85"/>
      <c r="E125" s="168">
        <v>5000</v>
      </c>
      <c r="F125" s="179"/>
      <c r="G125" s="206"/>
      <c r="H125" s="134">
        <f>SUM(D125:G125)</f>
        <v>5000</v>
      </c>
      <c r="I125"/>
      <c r="J125" s="89"/>
      <c r="K125" s="86"/>
      <c r="L125" s="164"/>
      <c r="M125" s="89"/>
      <c r="N125" s="89"/>
      <c r="O125"/>
      <c r="P125" s="85"/>
      <c r="Q125" s="85"/>
      <c r="R125" s="85"/>
      <c r="S125" s="85"/>
      <c r="T125" s="85"/>
      <c r="U125"/>
      <c r="V125" s="85"/>
      <c r="W125" s="85"/>
      <c r="X125" s="85"/>
      <c r="Y125" s="85"/>
      <c r="Z125" s="85"/>
      <c r="AA125" s="85"/>
      <c r="AB125"/>
      <c r="AC125" s="85"/>
      <c r="AD125" s="85"/>
      <c r="AE125" s="85"/>
      <c r="AF125" s="85"/>
      <c r="AG125" s="85">
        <v>0</v>
      </c>
      <c r="AH125"/>
      <c r="AI125" s="85">
        <v>0</v>
      </c>
      <c r="AJ125" s="85">
        <v>10000</v>
      </c>
      <c r="AK125" s="85">
        <v>0</v>
      </c>
      <c r="AL125" s="85">
        <v>0</v>
      </c>
      <c r="AM125" s="85">
        <v>0</v>
      </c>
      <c r="AN125" s="85">
        <v>0</v>
      </c>
      <c r="AO125" s="85">
        <v>0</v>
      </c>
      <c r="AP125" s="239"/>
    </row>
    <row r="126" spans="1:54" s="27" customFormat="1" ht="16.5" customHeight="1" x14ac:dyDescent="0.25">
      <c r="A126" s="10"/>
      <c r="B126" s="31" t="s">
        <v>112</v>
      </c>
      <c r="D126" s="85"/>
      <c r="E126" s="85"/>
      <c r="F126" s="133"/>
      <c r="G126" s="164"/>
      <c r="H126" s="85"/>
      <c r="I126"/>
      <c r="J126" s="89"/>
      <c r="K126" s="86"/>
      <c r="L126" s="164"/>
      <c r="M126" s="89"/>
      <c r="N126" s="89"/>
      <c r="O126"/>
      <c r="P126" s="85"/>
      <c r="Q126" s="85"/>
      <c r="R126" s="85"/>
      <c r="S126" s="85"/>
      <c r="T126" s="85"/>
      <c r="U126"/>
      <c r="V126" s="85"/>
      <c r="W126" s="85"/>
      <c r="X126" s="85"/>
      <c r="Y126" s="85"/>
      <c r="Z126" s="85"/>
      <c r="AA126" s="85"/>
      <c r="AB126"/>
      <c r="AC126" s="85"/>
      <c r="AD126" s="85"/>
      <c r="AE126" s="85"/>
      <c r="AF126" s="85"/>
      <c r="AG126" s="85">
        <v>0</v>
      </c>
      <c r="AH126"/>
      <c r="AI126" s="85">
        <v>0</v>
      </c>
      <c r="AJ126" s="133">
        <v>456</v>
      </c>
      <c r="AK126" s="85">
        <v>0</v>
      </c>
      <c r="AL126" s="85">
        <v>0</v>
      </c>
      <c r="AM126" s="85">
        <v>0</v>
      </c>
      <c r="AN126" s="85">
        <v>0</v>
      </c>
      <c r="AO126" s="85">
        <v>0</v>
      </c>
      <c r="AP126" s="239"/>
    </row>
    <row r="127" spans="1:54" s="27" customFormat="1" ht="16.5" customHeight="1" x14ac:dyDescent="0.25">
      <c r="A127" s="5"/>
      <c r="B127" s="31" t="s">
        <v>113</v>
      </c>
      <c r="D127" s="85"/>
      <c r="E127" s="85"/>
      <c r="F127" s="133"/>
      <c r="G127" s="85"/>
      <c r="H127" s="85"/>
      <c r="I127"/>
      <c r="J127" s="85"/>
      <c r="K127" s="69">
        <v>250</v>
      </c>
      <c r="L127" s="212">
        <f>250</f>
        <v>250</v>
      </c>
      <c r="M127" s="91"/>
      <c r="N127" s="168">
        <f>SUM(J127:M127)</f>
        <v>500</v>
      </c>
      <c r="O127"/>
      <c r="P127" s="238">
        <f>250</f>
        <v>250</v>
      </c>
      <c r="Q127" s="238">
        <f>250+250</f>
        <v>500</v>
      </c>
      <c r="R127" s="244"/>
      <c r="S127" s="134">
        <f>250</f>
        <v>250</v>
      </c>
      <c r="T127" s="85"/>
      <c r="U127"/>
      <c r="V127" s="133">
        <v>2182.8000000000002</v>
      </c>
      <c r="W127" s="85"/>
      <c r="X127" s="85"/>
      <c r="Y127" s="85"/>
      <c r="Z127" s="85"/>
      <c r="AA127" s="85"/>
      <c r="AB127"/>
      <c r="AC127" s="133"/>
      <c r="AD127" s="85"/>
      <c r="AE127" s="85"/>
      <c r="AF127" s="85"/>
      <c r="AG127" s="85"/>
      <c r="AH127"/>
      <c r="AI127" s="85"/>
      <c r="AJ127" s="85"/>
      <c r="AK127" s="85"/>
      <c r="AL127" s="85"/>
      <c r="AM127" s="85"/>
      <c r="AN127" s="85"/>
      <c r="AO127" s="85"/>
      <c r="AP127" s="239"/>
    </row>
    <row r="128" spans="1:54" s="27" customFormat="1" ht="16.5" customHeight="1" x14ac:dyDescent="0.25">
      <c r="A128" s="5"/>
      <c r="B128" s="31" t="s">
        <v>114</v>
      </c>
      <c r="D128" s="85"/>
      <c r="E128" s="85"/>
      <c r="F128" s="133"/>
      <c r="G128" s="85"/>
      <c r="H128" s="91"/>
      <c r="I128"/>
      <c r="J128" s="85"/>
      <c r="K128" s="85"/>
      <c r="L128" s="164"/>
      <c r="M128" s="91"/>
      <c r="N128" s="91"/>
      <c r="O128"/>
      <c r="P128" s="89"/>
      <c r="Q128" s="164"/>
      <c r="R128" s="85"/>
      <c r="S128" s="85">
        <v>23167</v>
      </c>
      <c r="T128" s="126"/>
      <c r="U128"/>
      <c r="V128" s="85"/>
      <c r="W128" s="85"/>
      <c r="X128" s="85"/>
      <c r="Y128" s="85"/>
      <c r="Z128" s="85">
        <v>23166.666666666668</v>
      </c>
      <c r="AA128" s="85"/>
      <c r="AB128"/>
      <c r="AC128" s="85"/>
      <c r="AD128" s="85"/>
      <c r="AE128" s="85"/>
      <c r="AF128" s="85"/>
      <c r="AG128" s="85">
        <v>23166.666666666668</v>
      </c>
      <c r="AH128"/>
      <c r="AI128" s="85">
        <v>23166.666666666668</v>
      </c>
      <c r="AJ128" s="85">
        <f>23166.6666666667-AJ125</f>
        <v>13166.666666666701</v>
      </c>
      <c r="AK128" s="85">
        <v>23166.666666666668</v>
      </c>
      <c r="AL128" s="85">
        <v>23166.666666666668</v>
      </c>
      <c r="AM128" s="85">
        <v>23166.666666666668</v>
      </c>
      <c r="AN128" s="85">
        <v>23166.666666666668</v>
      </c>
      <c r="AO128" s="85">
        <v>23166.666666666668</v>
      </c>
      <c r="AP128" s="239"/>
    </row>
    <row r="129" spans="1:93" s="27" customFormat="1" ht="16.5" customHeight="1" x14ac:dyDescent="0.25">
      <c r="A129" s="5"/>
      <c r="B129" s="15"/>
      <c r="D129" s="85"/>
      <c r="E129" s="85"/>
      <c r="F129" s="85"/>
      <c r="G129" s="85"/>
      <c r="H129" s="85"/>
      <c r="I129"/>
      <c r="J129" s="85"/>
      <c r="K129" s="85"/>
      <c r="L129" s="164"/>
      <c r="M129" s="89"/>
      <c r="N129" s="89"/>
      <c r="O129"/>
      <c r="P129" s="85"/>
      <c r="Q129" s="85"/>
      <c r="R129" s="85"/>
      <c r="S129" s="85"/>
      <c r="T129" s="85"/>
      <c r="U129"/>
      <c r="V129" s="85"/>
      <c r="W129" s="85"/>
      <c r="X129" s="85"/>
      <c r="Y129" s="85"/>
      <c r="Z129" s="85"/>
      <c r="AA129" s="85"/>
      <c r="AB129"/>
      <c r="AC129" s="85"/>
      <c r="AD129" s="85"/>
      <c r="AE129" s="85"/>
      <c r="AF129" s="85"/>
      <c r="AG129" s="85"/>
      <c r="AH129"/>
      <c r="AI129" s="85"/>
      <c r="AJ129" s="85"/>
      <c r="AK129" s="85"/>
      <c r="AL129" s="85"/>
      <c r="AM129" s="85"/>
      <c r="AN129" s="85"/>
      <c r="AO129" s="85"/>
      <c r="AP129" s="239"/>
    </row>
    <row r="130" spans="1:93" s="27" customFormat="1" ht="16.5" customHeight="1" x14ac:dyDescent="0.25">
      <c r="A130" s="5"/>
      <c r="B130" s="15" t="s">
        <v>63</v>
      </c>
      <c r="D130" s="85"/>
      <c r="E130" s="85"/>
      <c r="F130" s="85"/>
      <c r="G130" s="85"/>
      <c r="H130" s="85"/>
      <c r="I130"/>
      <c r="J130" s="85"/>
      <c r="K130" s="85"/>
      <c r="L130" s="85"/>
      <c r="M130" s="158"/>
      <c r="N130" s="85"/>
      <c r="O130"/>
      <c r="P130" s="85"/>
      <c r="Q130" s="85"/>
      <c r="R130" s="85"/>
      <c r="S130" s="85"/>
      <c r="T130" s="85"/>
      <c r="U130"/>
      <c r="V130" s="85"/>
      <c r="W130" s="85"/>
      <c r="X130" s="85"/>
      <c r="Y130" s="85"/>
      <c r="Z130" s="85"/>
      <c r="AA130" s="85"/>
      <c r="AB130"/>
      <c r="AC130" s="85"/>
      <c r="AD130" s="85"/>
      <c r="AE130" s="85"/>
      <c r="AF130" s="85"/>
      <c r="AG130" s="85"/>
      <c r="AH130"/>
      <c r="AI130" s="85"/>
      <c r="AJ130" s="85">
        <v>15000</v>
      </c>
      <c r="AK130" s="85"/>
      <c r="AL130" s="85"/>
      <c r="AM130" s="85"/>
      <c r="AN130" s="85">
        <v>15000</v>
      </c>
      <c r="AO130" s="85"/>
      <c r="AP130" s="239"/>
      <c r="AR130" s="37"/>
    </row>
    <row r="131" spans="1:93" s="27" customFormat="1" ht="16.5" customHeight="1" x14ac:dyDescent="0.25">
      <c r="A131" s="5"/>
      <c r="B131" s="15"/>
      <c r="C131" s="90"/>
      <c r="D131" s="85"/>
      <c r="E131" s="85"/>
      <c r="F131" s="85"/>
      <c r="G131" s="85"/>
      <c r="H131" s="85"/>
      <c r="I131"/>
      <c r="J131" s="85"/>
      <c r="K131" s="85"/>
      <c r="L131" s="85"/>
      <c r="M131" s="85"/>
      <c r="N131" s="85"/>
      <c r="O131"/>
      <c r="P131" s="85"/>
      <c r="Q131" s="85"/>
      <c r="R131" s="85"/>
      <c r="S131" s="85"/>
      <c r="T131" s="85"/>
      <c r="U131"/>
      <c r="V131" s="85"/>
      <c r="W131" s="85"/>
      <c r="X131" s="85"/>
      <c r="Y131" s="85"/>
      <c r="Z131" s="85"/>
      <c r="AA131" s="85"/>
      <c r="AB131"/>
      <c r="AC131" s="85"/>
      <c r="AD131" s="85"/>
      <c r="AE131" s="85"/>
      <c r="AF131" s="85"/>
      <c r="AG131" s="85"/>
      <c r="AH131"/>
      <c r="AI131" s="85"/>
      <c r="AJ131" s="85"/>
      <c r="AK131" s="85"/>
      <c r="AL131" s="85"/>
      <c r="AM131" s="85"/>
      <c r="AN131" s="85"/>
      <c r="AO131" s="85"/>
      <c r="AP131" s="137"/>
    </row>
    <row r="132" spans="1:93" s="27" customFormat="1" ht="16.5" customHeight="1" x14ac:dyDescent="0.25">
      <c r="A132" s="5"/>
      <c r="B132" s="5"/>
      <c r="D132" s="55"/>
      <c r="E132" s="55"/>
      <c r="F132" s="55"/>
      <c r="G132" s="55"/>
      <c r="H132" s="55"/>
      <c r="I132"/>
      <c r="O132"/>
      <c r="U132"/>
      <c r="V132" s="5"/>
      <c r="W132" s="5"/>
      <c r="X132" s="5"/>
      <c r="Y132" s="5"/>
      <c r="Z132" s="5"/>
      <c r="AB132"/>
      <c r="AC132" s="5"/>
      <c r="AD132" s="5"/>
      <c r="AE132" s="5"/>
      <c r="AF132" s="5"/>
      <c r="AH132"/>
      <c r="AP132" s="135"/>
    </row>
    <row r="133" spans="1:93" s="95" customFormat="1" ht="16.5" customHeight="1" x14ac:dyDescent="0.25">
      <c r="A133" s="5"/>
      <c r="B133" s="5"/>
      <c r="C133" s="5"/>
      <c r="D133" s="55"/>
      <c r="E133" s="55"/>
      <c r="F133" s="55"/>
      <c r="G133" s="55"/>
      <c r="H133" s="55"/>
      <c r="I133"/>
      <c r="J133" s="98"/>
      <c r="K133" s="98"/>
      <c r="L133" s="98"/>
      <c r="M133" s="98"/>
      <c r="N133" s="98"/>
      <c r="O133"/>
      <c r="P133" s="98"/>
      <c r="Q133" s="98"/>
      <c r="R133" s="98"/>
      <c r="S133" s="98"/>
      <c r="T133" s="98"/>
      <c r="U133"/>
      <c r="V133" s="98"/>
      <c r="W133" s="98"/>
      <c r="X133" s="98"/>
      <c r="Y133" s="98"/>
      <c r="Z133" s="98"/>
      <c r="AA133" s="98"/>
      <c r="AB133"/>
      <c r="AC133" s="98"/>
      <c r="AD133" s="98"/>
      <c r="AE133" s="98"/>
      <c r="AF133" s="98"/>
      <c r="AG133" s="98"/>
      <c r="AH133"/>
      <c r="AI133" s="98"/>
      <c r="AJ133" s="98"/>
      <c r="AK133" s="98"/>
      <c r="AL133" s="98"/>
      <c r="AM133" s="98"/>
      <c r="AN133" s="98"/>
      <c r="AO133" s="98"/>
      <c r="AP133" s="139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</row>
    <row r="134" spans="1:93" s="27" customFormat="1" ht="16.5" customHeight="1" x14ac:dyDescent="0.25">
      <c r="A134" s="152"/>
      <c r="B134" s="152" t="s">
        <v>64</v>
      </c>
      <c r="D134" s="153">
        <f>SUM(D88:D131)+SUM(D84:D86)+SUM(D76:D81)</f>
        <v>56270.38</v>
      </c>
      <c r="E134" s="153">
        <f>SUM(E88:E131)+SUM(E84:E86)+SUM(E76:E81)</f>
        <v>261980.38</v>
      </c>
      <c r="F134" s="153">
        <f>SUM(F88:F131)+SUM(F84:F86)+SUM(F76:F81)</f>
        <v>60300.719999999994</v>
      </c>
      <c r="G134" s="153">
        <f>SUM(G88:G131)+SUM(G84:G86)+SUM(G76:G81)</f>
        <v>39001.840000000004</v>
      </c>
      <c r="H134" s="153">
        <f>SUM(H88:H131)+SUM(H84:H86)+SUM(H76:H81)</f>
        <v>357553.32</v>
      </c>
      <c r="I134"/>
      <c r="J134" s="153">
        <f>SUM(J88:J131)+SUM(J84:J86)+SUM(J76:J81)</f>
        <v>61532.29</v>
      </c>
      <c r="K134" s="153">
        <f>SUM(K88:K131)+SUM(K84:K86)+SUM(K76:K81)</f>
        <v>198977.52000000002</v>
      </c>
      <c r="L134" s="153">
        <f>SUM(L88:L131)+SUM(L84:L86)+SUM(L76:L81)</f>
        <v>112602.90000000001</v>
      </c>
      <c r="M134" s="153">
        <f>SUM(M88:M131)+SUM(M84:M86)+SUM(M76:M81)</f>
        <v>61004.520000000004</v>
      </c>
      <c r="N134" s="153">
        <f>SUM(N88:N131)+SUM(N84:N86)+SUM(N76:N81)</f>
        <v>374117.23</v>
      </c>
      <c r="O134"/>
      <c r="P134" s="153">
        <f>SUM(P88:P131)+SUM(P84:P86)+SUM(P76:P81)</f>
        <v>61340.92</v>
      </c>
      <c r="Q134" s="153">
        <f>SUM(Q88:Q131)+SUM(Q84:Q86)+SUM(Q76:Q81)</f>
        <v>194865.21000000002</v>
      </c>
      <c r="R134" s="153">
        <f>SUM(R88:R131)+SUM(R84:R86)+SUM(R76:R81)</f>
        <v>83111.66</v>
      </c>
      <c r="S134" s="153">
        <f>SUM(S88:S131)+SUM(S84:S86)+SUM(S76:S81)</f>
        <v>69673.919999999998</v>
      </c>
      <c r="T134" s="153">
        <f>SUM(T84:T133)+T76+SUM(T78:T80)+T77</f>
        <v>0</v>
      </c>
      <c r="U134"/>
      <c r="V134" s="153">
        <f>SUM(V88:V131)+SUM(V84:V86)+SUM(V76:V81)</f>
        <v>32640.42</v>
      </c>
      <c r="W134" s="153">
        <f>SUM(W88:W131)+SUM(W84:W86)+SUM(W76:W81)</f>
        <v>5100</v>
      </c>
      <c r="X134" s="153">
        <f>SUM(X88:X131)+SUM(X84:X86)+SUM(X76:X81)</f>
        <v>247049.92064333335</v>
      </c>
      <c r="Y134" s="153">
        <f>SUM(Y88:Y131)+SUM(Y84:Y86)+SUM(Y76:Y81)</f>
        <v>86524.176666666666</v>
      </c>
      <c r="Z134" s="153">
        <f>SUM(Z88:Z131)+SUM(Z84:Z86)+SUM(Z76:Z81)</f>
        <v>264568.96666666667</v>
      </c>
      <c r="AA134" s="153">
        <f>SUM(AA84:AA133)+X76+SUM(AA78:AA80)+AA77</f>
        <v>218652.53064333333</v>
      </c>
      <c r="AB134"/>
      <c r="AC134" s="153">
        <f>SUM(AC88:AC131)+SUM(AC84:AC86)+SUM(AC76:AC81)</f>
        <v>0</v>
      </c>
      <c r="AD134" s="153">
        <f>SUM(AD88:AD131)+SUM(AD84:AD86)+SUM(AD76:AD81)</f>
        <v>225865.86397666665</v>
      </c>
      <c r="AE134" s="153">
        <f>SUM(AE88:AE131)+SUM(AE84:AE86)+SUM(AE76:AE81)</f>
        <v>0</v>
      </c>
      <c r="AF134" s="153">
        <f>SUM(AF88:AF131)+SUM(AF84:AF86)+SUM(AF76:AF81)</f>
        <v>0</v>
      </c>
      <c r="AG134" s="153">
        <f>SUM(AG84:AG133)+AD76+SUM(AG78:AG80)+AG77</f>
        <v>460722.63731000002</v>
      </c>
      <c r="AH134"/>
      <c r="AI134" s="153">
        <f t="shared" ref="AI134:AO134" si="23">SUM(AI76:AI131)</f>
        <v>463467.4239766667</v>
      </c>
      <c r="AJ134" s="153">
        <f t="shared" si="23"/>
        <v>554105.78397666686</v>
      </c>
      <c r="AK134" s="153">
        <f t="shared" si="23"/>
        <v>510093.95064333343</v>
      </c>
      <c r="AL134" s="153">
        <f t="shared" si="23"/>
        <v>534431.28397666675</v>
      </c>
      <c r="AM134" s="153">
        <f t="shared" si="23"/>
        <v>534945.30397666665</v>
      </c>
      <c r="AN134" s="153">
        <f t="shared" si="23"/>
        <v>585583.13731000002</v>
      </c>
      <c r="AO134" s="153">
        <f t="shared" si="23"/>
        <v>546424.80397666676</v>
      </c>
      <c r="AP134" s="128"/>
    </row>
    <row r="135" spans="1:93" s="27" customFormat="1" ht="16.5" customHeight="1" x14ac:dyDescent="0.25">
      <c r="A135" s="5"/>
      <c r="B135" s="5"/>
      <c r="D135" s="55"/>
      <c r="E135" s="55"/>
      <c r="F135" s="55"/>
      <c r="G135" s="55"/>
      <c r="H135" s="55"/>
      <c r="I135"/>
      <c r="O135"/>
      <c r="U135"/>
      <c r="V135" s="5"/>
      <c r="W135" s="5"/>
      <c r="X135" s="5"/>
      <c r="Y135" s="5"/>
      <c r="Z135" s="5"/>
      <c r="AB135"/>
      <c r="AC135" s="5"/>
      <c r="AD135" s="5"/>
      <c r="AE135" s="5"/>
      <c r="AF135" s="5"/>
      <c r="AH135"/>
      <c r="AP135" s="135"/>
      <c r="AR135" s="37"/>
    </row>
    <row r="136" spans="1:93" s="27" customFormat="1" ht="16.5" customHeight="1" x14ac:dyDescent="0.25">
      <c r="A136" s="5"/>
      <c r="B136" s="5"/>
      <c r="D136" s="55"/>
      <c r="E136" s="55"/>
      <c r="F136" s="55"/>
      <c r="G136" s="55"/>
      <c r="H136" s="55"/>
      <c r="I136"/>
      <c r="J136" s="55"/>
      <c r="K136" s="55"/>
      <c r="L136" s="55"/>
      <c r="M136" s="55"/>
      <c r="N136" s="55"/>
      <c r="O136"/>
      <c r="P136" s="55"/>
      <c r="Q136" s="55"/>
      <c r="R136" s="55"/>
      <c r="S136" s="55"/>
      <c r="T136" s="55"/>
      <c r="U136"/>
      <c r="V136" s="55"/>
      <c r="W136" s="55"/>
      <c r="X136" s="55"/>
      <c r="Y136" s="55"/>
      <c r="Z136" s="55"/>
      <c r="AA136" s="55"/>
      <c r="AB136"/>
      <c r="AC136" s="55"/>
      <c r="AD136" s="55"/>
      <c r="AE136" s="55"/>
      <c r="AF136" s="55"/>
      <c r="AG136" s="55"/>
      <c r="AH136"/>
      <c r="AI136" s="55"/>
      <c r="AJ136" s="55"/>
      <c r="AK136" s="55"/>
      <c r="AL136" s="55"/>
      <c r="AM136" s="55"/>
      <c r="AN136" s="55"/>
      <c r="AO136" s="55"/>
      <c r="AP136" s="135"/>
    </row>
    <row r="137" spans="1:93" s="27" customFormat="1" ht="16.5" customHeight="1" x14ac:dyDescent="0.25">
      <c r="A137" s="23"/>
      <c r="B137" s="24" t="s">
        <v>65</v>
      </c>
      <c r="D137" s="56">
        <f>D11+D71-D134</f>
        <v>762554.62</v>
      </c>
      <c r="E137" s="56">
        <f>E11+E71-E134</f>
        <v>600574.24</v>
      </c>
      <c r="F137" s="56">
        <f>F11+F71-F134</f>
        <v>645273.94999999995</v>
      </c>
      <c r="G137" s="56">
        <f>G11+G71-G134</f>
        <v>605928.43999999994</v>
      </c>
      <c r="H137" s="56">
        <f>H11+H71-H134</f>
        <v>665928.43999999994</v>
      </c>
      <c r="I137"/>
      <c r="J137" s="56">
        <f>J11+J71-J134</f>
        <v>704404.1399999999</v>
      </c>
      <c r="K137" s="56">
        <f>K11+K71-K134</f>
        <v>505426.61999999988</v>
      </c>
      <c r="L137" s="56">
        <f>L11+L71-L134</f>
        <v>392823.71999999986</v>
      </c>
      <c r="M137" s="56">
        <f>M11+M71-M134</f>
        <v>381475.26999999984</v>
      </c>
      <c r="N137" s="56">
        <f>N11+N71-N134</f>
        <v>441475.27</v>
      </c>
      <c r="O137"/>
      <c r="P137" s="56">
        <f>P11+P71-P134</f>
        <v>380134.35000000003</v>
      </c>
      <c r="Q137" s="56">
        <f>Q11+Q71-Q134</f>
        <v>435269.14000000007</v>
      </c>
      <c r="R137" s="56">
        <f>R11+R71-R134</f>
        <v>407157.4800000001</v>
      </c>
      <c r="S137" s="56">
        <f>S11+S71-S134</f>
        <v>337133.56000000011</v>
      </c>
      <c r="T137" s="56">
        <f>T11+T71-T134</f>
        <v>441475.27</v>
      </c>
      <c r="U137"/>
      <c r="V137" s="56">
        <f t="shared" ref="V137:AA137" si="24">V11+V71-V134</f>
        <v>507834.85000000003</v>
      </c>
      <c r="W137" s="56">
        <f t="shared" si="24"/>
        <v>502734.85000000003</v>
      </c>
      <c r="X137" s="56">
        <f t="shared" si="24"/>
        <v>255684.92935666669</v>
      </c>
      <c r="Y137" s="56">
        <f t="shared" si="24"/>
        <v>339160.75268999999</v>
      </c>
      <c r="Z137" s="56">
        <f t="shared" si="24"/>
        <v>474241.78602333332</v>
      </c>
      <c r="AA137" s="56">
        <f t="shared" si="24"/>
        <v>222822.73935666669</v>
      </c>
      <c r="AB137"/>
      <c r="AC137" s="56">
        <f>AC11+AC71-AC134</f>
        <v>222822.73935666669</v>
      </c>
      <c r="AD137" s="56">
        <f>AD11+AD71-AD134</f>
        <v>496956.87538000004</v>
      </c>
      <c r="AE137" s="56">
        <f>AE11+AE71-AE134</f>
        <v>496956.87538000004</v>
      </c>
      <c r="AF137" s="56">
        <f>AF11+AF71-AF134</f>
        <v>594606.8753800001</v>
      </c>
      <c r="AG137" s="56">
        <f>AG11+AG71-AG134</f>
        <v>133884.23807000008</v>
      </c>
      <c r="AH137"/>
      <c r="AI137" s="56">
        <f t="shared" ref="AI137:AO137" si="25">AI11+AI71-AI134</f>
        <v>-14433.185906666622</v>
      </c>
      <c r="AJ137" s="56">
        <f t="shared" si="25"/>
        <v>351111.03011666657</v>
      </c>
      <c r="AK137" s="56">
        <f t="shared" si="25"/>
        <v>392667.07947333314</v>
      </c>
      <c r="AL137" s="56">
        <f t="shared" si="25"/>
        <v>550885.79549666645</v>
      </c>
      <c r="AM137" s="56">
        <f t="shared" si="25"/>
        <v>525090.49151999969</v>
      </c>
      <c r="AN137" s="56">
        <f t="shared" si="25"/>
        <v>21560.35420999967</v>
      </c>
      <c r="AO137" s="56">
        <f t="shared" si="25"/>
        <v>-143314.44976666709</v>
      </c>
      <c r="AP137" s="128"/>
    </row>
    <row r="138" spans="1:93" s="27" customFormat="1" ht="16.5" customHeight="1" x14ac:dyDescent="0.25">
      <c r="B138" s="7"/>
      <c r="D138" s="55"/>
      <c r="E138" s="55"/>
      <c r="F138" s="55"/>
      <c r="G138" s="55"/>
      <c r="H138" s="55"/>
      <c r="I138"/>
      <c r="O138"/>
      <c r="U138"/>
      <c r="V138" s="5"/>
      <c r="W138" s="5"/>
      <c r="X138" s="5"/>
      <c r="Y138" s="5"/>
      <c r="Z138" s="5"/>
      <c r="AB138"/>
      <c r="AC138" s="5"/>
      <c r="AD138" s="5"/>
      <c r="AE138" s="5"/>
      <c r="AF138" s="5"/>
      <c r="AH138"/>
      <c r="AP138" s="135"/>
    </row>
    <row r="139" spans="1:93" s="27" customFormat="1" ht="16.5" customHeight="1" x14ac:dyDescent="0.25">
      <c r="A139" s="5"/>
      <c r="B139" s="7"/>
      <c r="D139" s="55"/>
      <c r="E139" s="55"/>
      <c r="F139" s="55"/>
      <c r="G139" s="55"/>
      <c r="H139" s="55"/>
      <c r="I139"/>
      <c r="O139"/>
      <c r="U139"/>
      <c r="V139" s="5"/>
      <c r="W139" s="5"/>
      <c r="X139" s="5"/>
      <c r="Y139" s="5"/>
      <c r="Z139" s="5"/>
      <c r="AB139"/>
      <c r="AC139" s="5"/>
      <c r="AD139" s="5"/>
      <c r="AE139" s="5"/>
      <c r="AF139" s="5"/>
      <c r="AH139"/>
      <c r="AP139" s="135"/>
    </row>
    <row r="140" spans="1:93" ht="16.5" customHeight="1" x14ac:dyDescent="0.25">
      <c r="A140" s="5"/>
      <c r="B140" s="26" t="s">
        <v>66</v>
      </c>
      <c r="D140" s="57"/>
      <c r="E140" s="57"/>
      <c r="F140" s="57"/>
      <c r="G140" s="57"/>
      <c r="H140" s="57"/>
      <c r="AC140" s="2"/>
      <c r="AD140" s="2"/>
      <c r="AE140" s="2"/>
      <c r="AF140" s="2"/>
    </row>
    <row r="141" spans="1:93" ht="16.5" customHeight="1" x14ac:dyDescent="0.25">
      <c r="A141" s="25"/>
      <c r="B141" s="2" t="s">
        <v>208</v>
      </c>
      <c r="D141" s="57">
        <f>377206.75</f>
        <v>377206.75</v>
      </c>
      <c r="E141" s="57">
        <f>D141</f>
        <v>377206.75</v>
      </c>
      <c r="F141" s="57">
        <f>E141</f>
        <v>377206.75</v>
      </c>
      <c r="G141" s="57">
        <f>F141</f>
        <v>377206.75</v>
      </c>
      <c r="H141" s="57">
        <f>G141-125000</f>
        <v>252206.75</v>
      </c>
      <c r="J141" s="183">
        <f>H141+J61</f>
        <v>252215.74</v>
      </c>
      <c r="K141" s="183">
        <f>J141</f>
        <v>252215.74</v>
      </c>
      <c r="L141" s="183">
        <f>K141</f>
        <v>252215.74</v>
      </c>
      <c r="M141" s="183">
        <f>L141+M61</f>
        <v>252224.41999999998</v>
      </c>
      <c r="N141" s="183">
        <f>M141</f>
        <v>252224.41999999998</v>
      </c>
      <c r="P141" s="183">
        <f>N141</f>
        <v>252224.41999999998</v>
      </c>
      <c r="Q141" s="183">
        <f>P141</f>
        <v>252224.41999999998</v>
      </c>
      <c r="R141" s="183">
        <f>Q141</f>
        <v>252224.41999999998</v>
      </c>
      <c r="S141" s="183"/>
      <c r="V141" s="234"/>
      <c r="W141" s="234"/>
      <c r="X141" s="234"/>
      <c r="Y141" s="234"/>
      <c r="Z141" s="234"/>
      <c r="AC141" s="234"/>
      <c r="AD141" s="234"/>
      <c r="AE141" s="234"/>
      <c r="AF141" s="234"/>
    </row>
    <row r="142" spans="1:93" ht="16.5" customHeight="1" x14ac:dyDescent="0.25">
      <c r="A142" s="199"/>
      <c r="B142" s="200" t="s">
        <v>209</v>
      </c>
      <c r="D142" s="201">
        <f>410620.43-D123-D86-D84-D116+D33</f>
        <v>385350.05</v>
      </c>
      <c r="E142" s="201">
        <f>D142-E76+E35-E100-E125-E111</f>
        <v>223369.66999999998</v>
      </c>
      <c r="F142" s="201">
        <f>E142-F119-F109-F110-F103-F105-F85-F76+F27+F32+F61-F118</f>
        <v>268069.37999999995</v>
      </c>
      <c r="G142" s="201">
        <f>F142-G101-G76-G115-G122-G107-G120-G90+G47+G63</f>
        <v>228723.86999999994</v>
      </c>
      <c r="H142" s="201">
        <v>413722</v>
      </c>
      <c r="J142" s="202"/>
      <c r="K142" s="202"/>
      <c r="L142" s="202"/>
      <c r="M142" s="202"/>
      <c r="N142" s="202">
        <v>189251</v>
      </c>
      <c r="P142" s="202">
        <v>127910</v>
      </c>
      <c r="Q142" s="202">
        <v>183045</v>
      </c>
      <c r="R142" s="202">
        <v>154933</v>
      </c>
      <c r="S142" s="202"/>
      <c r="T142" s="200"/>
      <c r="V142" s="202"/>
      <c r="W142" s="202"/>
      <c r="X142" s="202"/>
      <c r="Y142" s="202"/>
      <c r="Z142" s="202"/>
      <c r="AA142" s="200"/>
      <c r="AC142" s="202"/>
      <c r="AD142" s="202"/>
      <c r="AE142" s="202"/>
      <c r="AF142" s="202"/>
      <c r="AG142" s="200"/>
      <c r="AI142" s="200"/>
      <c r="AJ142" s="200"/>
      <c r="AK142" s="200"/>
      <c r="AL142" s="200"/>
      <c r="AM142" s="200"/>
      <c r="AN142" s="200"/>
      <c r="AO142" s="200"/>
    </row>
    <row r="143" spans="1:93" ht="16.5" customHeight="1" x14ac:dyDescent="0.25">
      <c r="A143" s="145"/>
      <c r="B143" s="28"/>
      <c r="D143" s="129"/>
      <c r="E143" s="129"/>
      <c r="F143" s="129"/>
      <c r="G143" s="129"/>
      <c r="H143" s="129"/>
      <c r="J143" s="129"/>
      <c r="K143" s="129"/>
      <c r="L143" s="129"/>
      <c r="M143" s="129"/>
      <c r="N143" s="129"/>
      <c r="O143" s="77"/>
      <c r="P143" s="129"/>
      <c r="Q143" s="129"/>
      <c r="R143" s="129"/>
      <c r="S143" s="129"/>
      <c r="T143" s="129"/>
      <c r="U143" s="77"/>
      <c r="V143" s="58"/>
      <c r="W143" s="58"/>
      <c r="X143" s="58"/>
      <c r="Y143" s="58"/>
      <c r="Z143" s="58"/>
      <c r="AA143" s="129"/>
      <c r="AC143" s="58"/>
      <c r="AD143" s="58"/>
      <c r="AE143" s="58"/>
      <c r="AF143" s="58"/>
      <c r="AG143" s="129"/>
      <c r="AH143" s="77"/>
      <c r="AI143" s="129"/>
      <c r="AJ143" s="129"/>
      <c r="AK143" s="129"/>
      <c r="AL143" s="129"/>
      <c r="AM143" s="129"/>
      <c r="AN143" s="129"/>
      <c r="AO143" s="129"/>
    </row>
    <row r="144" spans="1:93" ht="16.5" customHeight="1" x14ac:dyDescent="0.25">
      <c r="A144" s="146"/>
      <c r="B144" s="2" t="s">
        <v>67</v>
      </c>
      <c r="D144" s="58">
        <f>+D143-D137+D141+D142</f>
        <v>2.1799999999930151</v>
      </c>
      <c r="E144" s="58">
        <f>-E137+E141+E142+E143</f>
        <v>2.1799999999930151</v>
      </c>
      <c r="F144" s="58">
        <f>+F143-F137+F141+F142</f>
        <v>2.1799999999930151</v>
      </c>
      <c r="G144" s="58">
        <f>+G143-G137+G141+G142</f>
        <v>2.1799999999930151</v>
      </c>
      <c r="H144" s="58">
        <f>+H143-H137+H141+H142</f>
        <v>0.31000000005587935</v>
      </c>
      <c r="J144" s="58"/>
      <c r="K144" s="58"/>
      <c r="L144" s="58"/>
      <c r="M144" s="58"/>
      <c r="N144" s="58">
        <f>+N143-N137+N141+N142</f>
        <v>0.1499999999650754</v>
      </c>
      <c r="P144" s="58">
        <f>+P143-P137+P141+P142</f>
        <v>6.9999999948777258E-2</v>
      </c>
      <c r="Q144" s="58">
        <f>+Q143-Q137+Q141+Q142</f>
        <v>0.27999999991152436</v>
      </c>
      <c r="R144" s="58">
        <f>+R143-R137+R141+R142</f>
        <v>-6.0000000114087015E-2</v>
      </c>
      <c r="S144" s="58">
        <f>+S143-S137+S141+S142</f>
        <v>-337133.56000000011</v>
      </c>
      <c r="T144" s="58">
        <f>+T143-T137+T141+T142</f>
        <v>-441475.27</v>
      </c>
      <c r="V144" s="58">
        <f t="shared" ref="V144:AA144" si="26">+V143-V137+V141+V142</f>
        <v>-507834.85000000003</v>
      </c>
      <c r="W144" s="58">
        <f t="shared" si="26"/>
        <v>-502734.85000000003</v>
      </c>
      <c r="X144" s="58">
        <f t="shared" si="26"/>
        <v>-255684.92935666669</v>
      </c>
      <c r="Y144" s="58">
        <f t="shared" si="26"/>
        <v>-339160.75268999999</v>
      </c>
      <c r="Z144" s="58">
        <f t="shared" si="26"/>
        <v>-474241.78602333332</v>
      </c>
      <c r="AA144" s="58">
        <f t="shared" si="26"/>
        <v>-222822.73935666669</v>
      </c>
      <c r="AC144" s="58">
        <f>+AC143-AC137+AC141+AC142</f>
        <v>-222822.73935666669</v>
      </c>
      <c r="AD144" s="58">
        <f>+AD143-AD137+AD141+AD142</f>
        <v>-496956.87538000004</v>
      </c>
      <c r="AE144" s="58">
        <f>+AE143-AE137+AE141+AE142</f>
        <v>-496956.87538000004</v>
      </c>
      <c r="AF144" s="58">
        <f>+AF143-AF137+AF141+AF142</f>
        <v>-594606.8753800001</v>
      </c>
      <c r="AG144" s="58">
        <f>+AG143-AG137+AG141+AG142</f>
        <v>-133884.23807000008</v>
      </c>
      <c r="AI144" s="58">
        <f t="shared" ref="AI144:AO144" si="27">+AI143-AI137+AI141+AI142</f>
        <v>14433.185906666622</v>
      </c>
      <c r="AJ144" s="58">
        <f t="shared" si="27"/>
        <v>-351111.03011666657</v>
      </c>
      <c r="AK144" s="58">
        <f t="shared" si="27"/>
        <v>-392667.07947333314</v>
      </c>
      <c r="AL144" s="58">
        <f t="shared" si="27"/>
        <v>-550885.79549666645</v>
      </c>
      <c r="AM144" s="58">
        <f t="shared" si="27"/>
        <v>-525090.49151999969</v>
      </c>
      <c r="AN144" s="58">
        <f t="shared" si="27"/>
        <v>-21560.35420999967</v>
      </c>
      <c r="AO144" s="58">
        <f t="shared" si="27"/>
        <v>143314.44976666709</v>
      </c>
      <c r="AP144" s="128"/>
    </row>
    <row r="145" spans="1:45" x14ac:dyDescent="0.25">
      <c r="A145" s="25"/>
      <c r="D145" s="57"/>
      <c r="E145" s="57"/>
      <c r="F145" s="57"/>
      <c r="G145" s="57"/>
      <c r="H145" s="57"/>
      <c r="AC145" s="2"/>
      <c r="AD145" s="2"/>
      <c r="AE145" s="2"/>
      <c r="AF145" s="2"/>
    </row>
    <row r="146" spans="1:45" s="27" customFormat="1" x14ac:dyDescent="0.25">
      <c r="A146" s="25"/>
      <c r="B146" s="7"/>
      <c r="D146" s="55"/>
      <c r="E146" s="169"/>
      <c r="F146" s="55"/>
      <c r="G146" s="55"/>
      <c r="H146" s="55"/>
      <c r="I146"/>
      <c r="O146"/>
      <c r="U146"/>
      <c r="V146" s="5"/>
      <c r="W146" s="5"/>
      <c r="X146" s="5"/>
      <c r="Y146" s="5"/>
      <c r="Z146" s="5"/>
      <c r="AB146"/>
      <c r="AC146" s="5"/>
      <c r="AD146" s="5"/>
      <c r="AE146" s="5"/>
      <c r="AF146" s="5"/>
      <c r="AH146"/>
      <c r="AP146" s="135"/>
    </row>
    <row r="147" spans="1:45" s="27" customFormat="1" x14ac:dyDescent="0.25">
      <c r="A147" s="97"/>
      <c r="B147" s="7"/>
      <c r="D147" s="55"/>
      <c r="E147" s="169"/>
      <c r="F147" s="55"/>
      <c r="G147" s="55"/>
      <c r="H147" s="55"/>
      <c r="I147"/>
      <c r="K147" s="208"/>
      <c r="O147"/>
      <c r="P147" s="208"/>
      <c r="U147"/>
      <c r="V147" s="5"/>
      <c r="W147" s="5"/>
      <c r="X147" s="5"/>
      <c r="Y147" s="5"/>
      <c r="Z147" s="5"/>
      <c r="AB147"/>
      <c r="AC147" s="5"/>
      <c r="AD147" s="5"/>
      <c r="AE147" s="5"/>
      <c r="AF147" s="5"/>
      <c r="AH147"/>
      <c r="AP147" s="135"/>
    </row>
    <row r="148" spans="1:45" s="27" customFormat="1" x14ac:dyDescent="0.25">
      <c r="A148" s="5"/>
      <c r="B148" s="7"/>
      <c r="D148" s="55"/>
      <c r="E148" s="55"/>
      <c r="F148" s="55"/>
      <c r="G148" s="55"/>
      <c r="H148" s="55"/>
      <c r="I148"/>
      <c r="O148"/>
      <c r="U148"/>
      <c r="V148" s="5"/>
      <c r="W148" s="5"/>
      <c r="X148" s="5"/>
      <c r="Y148" s="5"/>
      <c r="Z148" s="5"/>
      <c r="AB148"/>
      <c r="AC148" s="5"/>
      <c r="AD148" s="5"/>
      <c r="AE148" s="5"/>
      <c r="AF148" s="5"/>
      <c r="AH148"/>
      <c r="AP148" s="135"/>
    </row>
    <row r="149" spans="1:45" s="27" customFormat="1" x14ac:dyDescent="0.25">
      <c r="A149" s="5"/>
      <c r="B149" s="5"/>
      <c r="D149" s="36"/>
      <c r="E149" s="36"/>
      <c r="F149" s="36"/>
      <c r="G149" s="36"/>
      <c r="H149" s="36"/>
      <c r="I149"/>
      <c r="O149"/>
      <c r="U149"/>
      <c r="V149" s="5"/>
      <c r="W149" s="5"/>
      <c r="X149" s="5"/>
      <c r="Y149" s="5"/>
      <c r="Z149" s="5"/>
      <c r="AB149"/>
      <c r="AC149" s="5"/>
      <c r="AD149" s="5"/>
      <c r="AE149" s="5"/>
      <c r="AF149" s="5"/>
      <c r="AH149"/>
      <c r="AP149" s="135"/>
    </row>
    <row r="150" spans="1:45" s="27" customFormat="1" x14ac:dyDescent="0.25">
      <c r="A150" s="5"/>
      <c r="B150" s="32" t="s">
        <v>201</v>
      </c>
      <c r="D150" s="36"/>
      <c r="E150" s="36"/>
      <c r="F150" s="36"/>
      <c r="G150" s="36"/>
      <c r="H150" s="36"/>
      <c r="I150"/>
      <c r="J150" s="38"/>
      <c r="K150" s="38"/>
      <c r="L150" s="38"/>
      <c r="M150" s="38"/>
      <c r="N150" s="38"/>
      <c r="O150"/>
      <c r="U150"/>
      <c r="V150" s="5"/>
      <c r="W150" s="5"/>
      <c r="X150" s="5"/>
      <c r="Y150" s="5"/>
      <c r="Z150" s="5"/>
      <c r="AB150"/>
      <c r="AC150" s="5"/>
      <c r="AD150" s="5"/>
      <c r="AE150" s="5"/>
      <c r="AF150" s="5"/>
      <c r="AH150"/>
      <c r="AP150" s="135"/>
    </row>
    <row r="151" spans="1:45" s="27" customFormat="1" x14ac:dyDescent="0.25">
      <c r="A151" s="5"/>
      <c r="B151" s="7" t="s">
        <v>68</v>
      </c>
      <c r="D151" s="111"/>
      <c r="E151" s="111"/>
      <c r="F151" s="111"/>
      <c r="G151" s="111"/>
      <c r="H151" s="271" t="s">
        <v>199</v>
      </c>
      <c r="I151" s="271"/>
      <c r="J151" s="271"/>
      <c r="K151" s="271"/>
      <c r="L151" s="271"/>
      <c r="M151" s="271"/>
      <c r="N151" s="271"/>
      <c r="O151"/>
      <c r="P151" s="187"/>
      <c r="Q151" s="187"/>
      <c r="R151" s="187"/>
      <c r="S151" s="187"/>
      <c r="T151" s="112" t="s">
        <v>200</v>
      </c>
      <c r="U151"/>
      <c r="V151" s="233"/>
      <c r="W151" s="233"/>
      <c r="X151" s="233"/>
      <c r="Y151" s="233"/>
      <c r="Z151" s="233"/>
      <c r="AA151" s="113"/>
      <c r="AB151"/>
      <c r="AC151" s="233"/>
      <c r="AD151" s="233"/>
      <c r="AE151" s="233"/>
      <c r="AF151" s="233"/>
      <c r="AG151" s="113"/>
      <c r="AH151"/>
      <c r="AI151" s="113"/>
      <c r="AJ151" s="113"/>
      <c r="AK151" s="113"/>
      <c r="AL151" s="113"/>
      <c r="AM151" s="113"/>
      <c r="AN151" s="113"/>
      <c r="AO151" s="113"/>
      <c r="AP151" s="135"/>
    </row>
    <row r="152" spans="1:45" s="27" customFormat="1" x14ac:dyDescent="0.25">
      <c r="A152" s="5"/>
      <c r="B152" s="5" t="s">
        <v>69</v>
      </c>
      <c r="D152" s="63"/>
      <c r="E152" s="63"/>
      <c r="F152" s="63"/>
      <c r="G152" s="63"/>
      <c r="H152" s="63" t="s">
        <v>10</v>
      </c>
      <c r="I152"/>
      <c r="J152" s="63"/>
      <c r="K152" s="63"/>
      <c r="L152" s="63"/>
      <c r="M152" s="63"/>
      <c r="N152" s="63" t="s">
        <v>11</v>
      </c>
      <c r="O152"/>
      <c r="P152" s="193"/>
      <c r="Q152" s="193"/>
      <c r="R152" s="193"/>
      <c r="S152" s="193"/>
      <c r="T152" s="63" t="s">
        <v>0</v>
      </c>
      <c r="U152"/>
      <c r="V152" s="227"/>
      <c r="W152" s="227"/>
      <c r="X152" s="227"/>
      <c r="Y152" s="227"/>
      <c r="Z152" s="227"/>
      <c r="AA152" s="63" t="s">
        <v>1</v>
      </c>
      <c r="AB152"/>
      <c r="AC152" s="227"/>
      <c r="AD152" s="227"/>
      <c r="AE152" s="227"/>
      <c r="AF152" s="227"/>
      <c r="AG152" s="63" t="s">
        <v>2</v>
      </c>
      <c r="AH152"/>
      <c r="AI152" s="63" t="s">
        <v>3</v>
      </c>
      <c r="AJ152" s="63" t="s">
        <v>4</v>
      </c>
      <c r="AK152" s="63" t="s">
        <v>5</v>
      </c>
      <c r="AL152" s="63" t="s">
        <v>6</v>
      </c>
      <c r="AM152" s="63" t="s">
        <v>7</v>
      </c>
      <c r="AN152" s="63" t="s">
        <v>8</v>
      </c>
      <c r="AO152" s="63" t="s">
        <v>9</v>
      </c>
      <c r="AP152" s="135"/>
      <c r="AQ152" s="93"/>
      <c r="AR152" s="93"/>
    </row>
    <row r="153" spans="1:45" s="27" customFormat="1" x14ac:dyDescent="0.25">
      <c r="A153" s="5"/>
      <c r="B153" s="5" t="s">
        <v>70</v>
      </c>
      <c r="D153" s="19"/>
      <c r="E153" s="19"/>
      <c r="F153" s="19"/>
      <c r="G153" s="19"/>
      <c r="H153" s="19"/>
      <c r="I153"/>
      <c r="J153" s="64"/>
      <c r="K153" s="64"/>
      <c r="L153" s="64"/>
      <c r="M153" s="64"/>
      <c r="N153" s="64"/>
      <c r="O153"/>
      <c r="P153" s="64"/>
      <c r="Q153" s="64"/>
      <c r="R153" s="64"/>
      <c r="S153" s="64"/>
      <c r="T153" s="64"/>
      <c r="U153"/>
      <c r="V153" s="19"/>
      <c r="W153" s="19"/>
      <c r="X153" s="19"/>
      <c r="Y153" s="19"/>
      <c r="Z153" s="19"/>
      <c r="AA153" s="64">
        <f t="shared" ref="AA153:AO153" si="28">COUNTA(AA168:AA176)</f>
        <v>0</v>
      </c>
      <c r="AB153"/>
      <c r="AC153" s="19"/>
      <c r="AD153" s="19"/>
      <c r="AE153" s="19"/>
      <c r="AF153" s="19"/>
      <c r="AG153" s="64">
        <f>COUNTA(AG168:AG176)</f>
        <v>2</v>
      </c>
      <c r="AH153"/>
      <c r="AI153" s="64">
        <f>COUNTA(AI168:AI176)</f>
        <v>3</v>
      </c>
      <c r="AJ153" s="64">
        <f>COUNTA(AJ168:AJ176)</f>
        <v>1</v>
      </c>
      <c r="AK153" s="64">
        <f>COUNTA(AK168:AK176)</f>
        <v>5</v>
      </c>
      <c r="AL153" s="64">
        <f t="shared" si="28"/>
        <v>4</v>
      </c>
      <c r="AM153" s="64">
        <f t="shared" si="28"/>
        <v>0</v>
      </c>
      <c r="AN153" s="64">
        <f>COUNTA(AN168:AN176)</f>
        <v>6</v>
      </c>
      <c r="AO153" s="64">
        <f t="shared" si="28"/>
        <v>4</v>
      </c>
      <c r="AP153" s="135"/>
      <c r="AQ153" s="53"/>
      <c r="AS153" s="53"/>
    </row>
    <row r="154" spans="1:45" s="27" customFormat="1" x14ac:dyDescent="0.25">
      <c r="A154" s="5"/>
      <c r="B154" s="5" t="s">
        <v>71</v>
      </c>
      <c r="D154" s="22"/>
      <c r="E154" s="22"/>
      <c r="F154" s="22"/>
      <c r="G154" s="22"/>
      <c r="H154" s="22"/>
      <c r="I154"/>
      <c r="J154" s="194"/>
      <c r="K154" s="194"/>
      <c r="L154" s="194"/>
      <c r="M154" s="194"/>
      <c r="N154" s="194"/>
      <c r="O154"/>
      <c r="P154" s="106"/>
      <c r="Q154" s="106"/>
      <c r="R154" s="106"/>
      <c r="S154" s="106"/>
      <c r="T154" s="106"/>
      <c r="U154"/>
      <c r="V154" s="228"/>
      <c r="W154" s="228"/>
      <c r="X154" s="228"/>
      <c r="Y154" s="228"/>
      <c r="Z154" s="228"/>
      <c r="AA154" s="106"/>
      <c r="AB154"/>
      <c r="AC154" s="228"/>
      <c r="AD154" s="228"/>
      <c r="AE154" s="228"/>
      <c r="AF154" s="228"/>
      <c r="AG154" s="106">
        <f t="shared" ref="AG154:AO154" si="29">AG155/AG153</f>
        <v>72500</v>
      </c>
      <c r="AH154"/>
      <c r="AI154" s="106">
        <f t="shared" si="29"/>
        <v>83333.333333333328</v>
      </c>
      <c r="AJ154" s="106">
        <f t="shared" si="29"/>
        <v>130000</v>
      </c>
      <c r="AK154" s="106">
        <f t="shared" si="29"/>
        <v>71000</v>
      </c>
      <c r="AL154" s="106">
        <f t="shared" si="29"/>
        <v>76250</v>
      </c>
      <c r="AM154" s="106" t="e">
        <f t="shared" si="29"/>
        <v>#DIV/0!</v>
      </c>
      <c r="AN154" s="106">
        <f t="shared" si="29"/>
        <v>69166.666666666672</v>
      </c>
      <c r="AO154" s="106">
        <f t="shared" si="29"/>
        <v>85000</v>
      </c>
      <c r="AP154" s="135"/>
    </row>
    <row r="155" spans="1:45" s="27" customFormat="1" x14ac:dyDescent="0.25">
      <c r="A155" s="5"/>
      <c r="B155" s="5" t="s">
        <v>72</v>
      </c>
      <c r="D155" s="40"/>
      <c r="E155" s="40"/>
      <c r="F155" s="40"/>
      <c r="G155" s="40"/>
      <c r="H155" s="40"/>
      <c r="I155"/>
      <c r="J155" s="65"/>
      <c r="K155" s="65"/>
      <c r="L155" s="65"/>
      <c r="M155" s="65"/>
      <c r="N155" s="65"/>
      <c r="O155"/>
      <c r="P155" s="65"/>
      <c r="Q155" s="65"/>
      <c r="R155" s="65"/>
      <c r="S155" s="65"/>
      <c r="T155" s="65"/>
      <c r="U155"/>
      <c r="V155" s="40"/>
      <c r="W155" s="40"/>
      <c r="X155" s="40"/>
      <c r="Y155" s="40"/>
      <c r="Z155" s="40"/>
      <c r="AA155" s="65">
        <v>0</v>
      </c>
      <c r="AB155"/>
      <c r="AC155" s="40"/>
      <c r="AD155" s="40"/>
      <c r="AE155" s="40"/>
      <c r="AF155" s="40"/>
      <c r="AG155" s="65">
        <f>110000+35000</f>
        <v>145000</v>
      </c>
      <c r="AH155"/>
      <c r="AI155" s="65">
        <f>70000+100000+80000</f>
        <v>250000</v>
      </c>
      <c r="AJ155" s="65">
        <v>130000</v>
      </c>
      <c r="AK155" s="65">
        <f>130000+25000+115000+25000+60000</f>
        <v>355000</v>
      </c>
      <c r="AL155" s="65">
        <f>110000+85000+85000+25000</f>
        <v>305000</v>
      </c>
      <c r="AM155" s="65">
        <v>0</v>
      </c>
      <c r="AN155" s="65">
        <f>85000+85000+85000+25000+25000+110000</f>
        <v>415000</v>
      </c>
      <c r="AO155" s="65">
        <f>85000*4</f>
        <v>340000</v>
      </c>
      <c r="AP155" s="140"/>
      <c r="AS155" s="53"/>
    </row>
    <row r="156" spans="1:45" s="27" customFormat="1" x14ac:dyDescent="0.25">
      <c r="A156" s="5"/>
      <c r="B156" s="5" t="s">
        <v>73</v>
      </c>
      <c r="D156" s="21"/>
      <c r="E156" s="21"/>
      <c r="F156" s="21"/>
      <c r="G156" s="21"/>
      <c r="H156" s="21"/>
      <c r="I156"/>
      <c r="J156" s="66"/>
      <c r="K156" s="66"/>
      <c r="L156" s="66"/>
      <c r="M156" s="66"/>
      <c r="N156" s="66"/>
      <c r="O156"/>
      <c r="P156" s="66"/>
      <c r="Q156" s="66"/>
      <c r="R156" s="66"/>
      <c r="S156" s="66"/>
      <c r="T156" s="66"/>
      <c r="U156"/>
      <c r="V156" s="21"/>
      <c r="W156" s="21"/>
      <c r="X156" s="21"/>
      <c r="Y156" s="21"/>
      <c r="Z156" s="21"/>
      <c r="AA156" s="66">
        <f t="shared" ref="AA156:AL156" si="30">AA155*-0.1</f>
        <v>0</v>
      </c>
      <c r="AB156"/>
      <c r="AC156" s="21"/>
      <c r="AD156" s="21"/>
      <c r="AE156" s="21"/>
      <c r="AF156" s="21"/>
      <c r="AG156" s="66">
        <f t="shared" si="30"/>
        <v>-14500</v>
      </c>
      <c r="AH156"/>
      <c r="AI156" s="66">
        <f t="shared" si="30"/>
        <v>-25000</v>
      </c>
      <c r="AJ156" s="66">
        <f t="shared" si="30"/>
        <v>-13000</v>
      </c>
      <c r="AK156" s="66">
        <f t="shared" si="30"/>
        <v>-35500</v>
      </c>
      <c r="AL156" s="66">
        <f t="shared" si="30"/>
        <v>-30500</v>
      </c>
      <c r="AM156" s="66">
        <f t="shared" ref="AM156:AO156" si="31">AM155*-0.1</f>
        <v>0</v>
      </c>
      <c r="AN156" s="66">
        <f>AN155*-0.1</f>
        <v>-41500</v>
      </c>
      <c r="AO156" s="66">
        <f t="shared" si="31"/>
        <v>-34000</v>
      </c>
      <c r="AP156" s="140"/>
    </row>
    <row r="157" spans="1:45" s="27" customFormat="1" x14ac:dyDescent="0.25">
      <c r="A157" s="5"/>
      <c r="B157" s="5"/>
      <c r="D157" s="21"/>
      <c r="E157" s="21"/>
      <c r="F157" s="21"/>
      <c r="G157" s="21"/>
      <c r="H157" s="21"/>
      <c r="I157"/>
      <c r="J157" s="66"/>
      <c r="K157" s="66"/>
      <c r="L157" s="66"/>
      <c r="M157" s="66"/>
      <c r="N157" s="66"/>
      <c r="O157"/>
      <c r="P157" s="66"/>
      <c r="Q157" s="66"/>
      <c r="R157" s="66"/>
      <c r="S157" s="66"/>
      <c r="T157" s="66"/>
      <c r="U157"/>
      <c r="V157" s="21"/>
      <c r="W157" s="21"/>
      <c r="X157" s="21"/>
      <c r="Y157" s="21"/>
      <c r="Z157" s="21"/>
      <c r="AA157" s="66"/>
      <c r="AB157"/>
      <c r="AC157" s="21"/>
      <c r="AD157" s="21"/>
      <c r="AE157" s="21"/>
      <c r="AF157" s="21"/>
      <c r="AG157" s="66"/>
      <c r="AH157"/>
      <c r="AI157" s="66"/>
      <c r="AJ157" s="66"/>
      <c r="AK157" s="66"/>
      <c r="AL157" s="66"/>
      <c r="AM157" s="66"/>
      <c r="AN157" s="66"/>
      <c r="AO157" s="66"/>
      <c r="AP157" s="135"/>
    </row>
    <row r="158" spans="1:45" s="27" customFormat="1" x14ac:dyDescent="0.25">
      <c r="A158" s="5"/>
      <c r="B158" s="5" t="s">
        <v>74</v>
      </c>
      <c r="D158" s="40"/>
      <c r="E158" s="40"/>
      <c r="F158" s="40"/>
      <c r="G158" s="40"/>
      <c r="H158" s="40"/>
      <c r="I158"/>
      <c r="J158" s="65"/>
      <c r="K158" s="65"/>
      <c r="L158" s="65"/>
      <c r="M158" s="65"/>
      <c r="N158" s="65"/>
      <c r="O158"/>
      <c r="P158" s="65"/>
      <c r="Q158" s="65"/>
      <c r="R158" s="65"/>
      <c r="S158" s="65"/>
      <c r="T158" s="65"/>
      <c r="U158"/>
      <c r="V158" s="40"/>
      <c r="W158" s="40"/>
      <c r="X158" s="40"/>
      <c r="Y158" s="40"/>
      <c r="Z158" s="40"/>
      <c r="AA158" s="65">
        <f t="shared" ref="AA158:AL158" si="32">SUM(AA155:AA156)</f>
        <v>0</v>
      </c>
      <c r="AB158"/>
      <c r="AC158" s="40"/>
      <c r="AD158" s="40"/>
      <c r="AE158" s="40"/>
      <c r="AF158" s="40"/>
      <c r="AG158" s="65">
        <f t="shared" si="32"/>
        <v>130500</v>
      </c>
      <c r="AH158"/>
      <c r="AI158" s="65">
        <f t="shared" si="32"/>
        <v>225000</v>
      </c>
      <c r="AJ158" s="65">
        <f t="shared" si="32"/>
        <v>117000</v>
      </c>
      <c r="AK158" s="65">
        <f t="shared" si="32"/>
        <v>319500</v>
      </c>
      <c r="AL158" s="65">
        <f t="shared" si="32"/>
        <v>274500</v>
      </c>
      <c r="AM158" s="65">
        <f t="shared" ref="AM158:AO158" si="33">SUM(AM155:AM156)</f>
        <v>0</v>
      </c>
      <c r="AN158" s="65">
        <f t="shared" si="33"/>
        <v>373500</v>
      </c>
      <c r="AO158" s="65">
        <f t="shared" si="33"/>
        <v>306000</v>
      </c>
      <c r="AP158" s="135"/>
    </row>
    <row r="159" spans="1:45" s="27" customFormat="1" x14ac:dyDescent="0.25">
      <c r="A159" s="5"/>
      <c r="B159" s="5" t="s">
        <v>75</v>
      </c>
      <c r="C159" s="268">
        <v>1</v>
      </c>
      <c r="D159" s="5"/>
      <c r="E159" s="5"/>
      <c r="F159" s="5"/>
      <c r="G159" s="5"/>
      <c r="H159" s="5"/>
      <c r="I159"/>
      <c r="J159" s="67"/>
      <c r="K159" s="67"/>
      <c r="L159" s="67"/>
      <c r="M159" s="67"/>
      <c r="O159"/>
      <c r="P159" s="67"/>
      <c r="Q159" s="67"/>
      <c r="R159" s="67"/>
      <c r="S159" s="67"/>
      <c r="T159" s="67"/>
      <c r="U159"/>
      <c r="V159" s="5"/>
      <c r="W159" s="5"/>
      <c r="X159" s="5"/>
      <c r="Y159" s="5"/>
      <c r="Z159" s="5"/>
      <c r="AA159" s="67"/>
      <c r="AB159"/>
      <c r="AC159" s="5"/>
      <c r="AD159" s="5"/>
      <c r="AE159" s="5"/>
      <c r="AF159" s="5"/>
      <c r="AG159" s="67"/>
      <c r="AH159"/>
      <c r="AI159" s="67"/>
      <c r="AJ159" s="67"/>
      <c r="AK159" s="67"/>
      <c r="AL159" s="67"/>
      <c r="AM159" s="67"/>
      <c r="AN159" s="67"/>
      <c r="AO159" s="67"/>
      <c r="AP159" s="135"/>
    </row>
    <row r="160" spans="1:45" s="69" customFormat="1" x14ac:dyDescent="0.25">
      <c r="A160" s="5"/>
      <c r="B160" s="7" t="s">
        <v>76</v>
      </c>
      <c r="D160" s="68"/>
      <c r="E160" s="68"/>
      <c r="F160" s="68"/>
      <c r="G160" s="68"/>
      <c r="H160" s="68">
        <f>H158*$C$159</f>
        <v>0</v>
      </c>
      <c r="I160"/>
      <c r="J160" s="70"/>
      <c r="K160" s="70"/>
      <c r="L160" s="70"/>
      <c r="M160" s="70"/>
      <c r="N160" s="70">
        <f>N158*$C$159</f>
        <v>0</v>
      </c>
      <c r="O160"/>
      <c r="P160" s="70"/>
      <c r="Q160" s="70"/>
      <c r="R160" s="70"/>
      <c r="S160" s="70"/>
      <c r="T160" s="70">
        <f>T158*$C$159</f>
        <v>0</v>
      </c>
      <c r="U160"/>
      <c r="V160" s="68"/>
      <c r="W160" s="68"/>
      <c r="X160" s="68"/>
      <c r="Y160" s="68"/>
      <c r="Z160" s="68"/>
      <c r="AA160" s="70">
        <f>AA158*$C$159</f>
        <v>0</v>
      </c>
      <c r="AB160"/>
      <c r="AC160" s="68"/>
      <c r="AD160" s="68"/>
      <c r="AE160" s="68"/>
      <c r="AF160" s="68"/>
      <c r="AG160" s="70">
        <f>AG158*$C$159</f>
        <v>130500</v>
      </c>
      <c r="AH160"/>
      <c r="AI160" s="70">
        <f t="shared" ref="AI160:AO160" si="34">AI158*$C$159</f>
        <v>225000</v>
      </c>
      <c r="AJ160" s="70">
        <f t="shared" si="34"/>
        <v>117000</v>
      </c>
      <c r="AK160" s="70">
        <f t="shared" si="34"/>
        <v>319500</v>
      </c>
      <c r="AL160" s="70">
        <f t="shared" si="34"/>
        <v>274500</v>
      </c>
      <c r="AM160" s="70">
        <f t="shared" si="34"/>
        <v>0</v>
      </c>
      <c r="AN160" s="70">
        <f t="shared" si="34"/>
        <v>373500</v>
      </c>
      <c r="AO160" s="70">
        <f t="shared" si="34"/>
        <v>306000</v>
      </c>
      <c r="AP160" s="141"/>
    </row>
    <row r="161" spans="1:43" s="41" customFormat="1" x14ac:dyDescent="0.25">
      <c r="A161" s="7"/>
      <c r="B161" s="39" t="s">
        <v>77</v>
      </c>
      <c r="D161" s="74"/>
      <c r="E161" s="74"/>
      <c r="F161" s="74"/>
      <c r="G161" s="74"/>
      <c r="H161" s="74">
        <f>H155*$C$159</f>
        <v>0</v>
      </c>
      <c r="I161"/>
      <c r="J161" s="195"/>
      <c r="K161" s="195"/>
      <c r="L161" s="195"/>
      <c r="M161" s="195"/>
      <c r="N161" s="195">
        <f>N155*$C$159</f>
        <v>0</v>
      </c>
      <c r="O161"/>
      <c r="P161" s="74"/>
      <c r="Q161" s="74"/>
      <c r="R161" s="74"/>
      <c r="S161" s="74"/>
      <c r="T161" s="74">
        <f>T155*$C$159</f>
        <v>0</v>
      </c>
      <c r="U161"/>
      <c r="V161" s="74"/>
      <c r="W161" s="74"/>
      <c r="X161" s="74"/>
      <c r="Y161" s="74"/>
      <c r="Z161" s="74"/>
      <c r="AA161" s="74">
        <f>AA155*$C$159</f>
        <v>0</v>
      </c>
      <c r="AB161"/>
      <c r="AC161" s="74"/>
      <c r="AD161" s="74"/>
      <c r="AE161" s="74"/>
      <c r="AF161" s="74"/>
      <c r="AG161" s="74">
        <f>AG155*$C$159</f>
        <v>145000</v>
      </c>
      <c r="AH161"/>
      <c r="AI161" s="74">
        <f t="shared" ref="AI161:AO161" si="35">AI155*$C$159</f>
        <v>250000</v>
      </c>
      <c r="AJ161" s="74">
        <f t="shared" si="35"/>
        <v>130000</v>
      </c>
      <c r="AK161" s="74">
        <f t="shared" si="35"/>
        <v>355000</v>
      </c>
      <c r="AL161" s="74">
        <f t="shared" si="35"/>
        <v>305000</v>
      </c>
      <c r="AM161" s="74">
        <f t="shared" si="35"/>
        <v>0</v>
      </c>
      <c r="AN161" s="74">
        <f t="shared" si="35"/>
        <v>415000</v>
      </c>
      <c r="AO161" s="74">
        <f t="shared" si="35"/>
        <v>340000</v>
      </c>
      <c r="AP161" s="138"/>
    </row>
    <row r="162" spans="1:43" s="69" customFormat="1" x14ac:dyDescent="0.25">
      <c r="A162" s="39"/>
      <c r="B162" s="7"/>
      <c r="D162" s="70"/>
      <c r="E162" s="70"/>
      <c r="F162" s="70"/>
      <c r="G162" s="70"/>
      <c r="H162" s="70"/>
      <c r="I162"/>
      <c r="J162" s="70"/>
      <c r="K162" s="70"/>
      <c r="L162" s="70"/>
      <c r="M162" s="70"/>
      <c r="N162" s="70"/>
      <c r="O162"/>
      <c r="P162" s="70"/>
      <c r="Q162" s="70"/>
      <c r="R162" s="70"/>
      <c r="S162" s="70"/>
      <c r="T162" s="70"/>
      <c r="U162"/>
      <c r="V162" s="68"/>
      <c r="W162" s="68"/>
      <c r="X162" s="68"/>
      <c r="Y162" s="68"/>
      <c r="Z162" s="68"/>
      <c r="AA162" s="70"/>
      <c r="AB162"/>
      <c r="AC162" s="68"/>
      <c r="AD162" s="68"/>
      <c r="AE162" s="68"/>
      <c r="AF162" s="68"/>
      <c r="AG162" s="70"/>
      <c r="AH162"/>
      <c r="AI162" s="70"/>
      <c r="AJ162" s="70"/>
      <c r="AK162" s="70"/>
      <c r="AL162" s="70"/>
      <c r="AM162" s="70"/>
      <c r="AN162" s="70"/>
      <c r="AO162" s="70"/>
      <c r="AP162" s="141"/>
    </row>
    <row r="163" spans="1:43" s="27" customFormat="1" x14ac:dyDescent="0.25">
      <c r="A163" s="7"/>
      <c r="B163" s="5"/>
      <c r="D163" s="64"/>
      <c r="E163" s="64"/>
      <c r="F163" s="64"/>
      <c r="G163" s="64"/>
      <c r="H163" s="64"/>
      <c r="I163"/>
      <c r="J163" s="64"/>
      <c r="K163" s="64"/>
      <c r="L163" s="64"/>
      <c r="M163" s="64"/>
      <c r="N163" s="64"/>
      <c r="O163"/>
      <c r="P163" s="64"/>
      <c r="Q163" s="64"/>
      <c r="R163" s="64"/>
      <c r="S163" s="64"/>
      <c r="T163" s="64"/>
      <c r="U163"/>
      <c r="V163" s="19"/>
      <c r="W163" s="19"/>
      <c r="X163" s="19"/>
      <c r="Y163" s="19"/>
      <c r="Z163" s="19"/>
      <c r="AA163" s="64"/>
      <c r="AB163"/>
      <c r="AC163" s="19"/>
      <c r="AD163" s="19"/>
      <c r="AE163" s="19"/>
      <c r="AF163" s="19"/>
      <c r="AG163" s="64"/>
      <c r="AH163"/>
      <c r="AI163" s="64"/>
      <c r="AJ163" s="64"/>
      <c r="AK163" s="64"/>
      <c r="AL163" s="64"/>
      <c r="AM163" s="64"/>
      <c r="AN163" s="64"/>
      <c r="AO163" s="64"/>
      <c r="AP163" s="135"/>
    </row>
    <row r="164" spans="1:43" s="27" customFormat="1" x14ac:dyDescent="0.25">
      <c r="A164" s="5"/>
      <c r="B164" s="154" t="s">
        <v>78</v>
      </c>
      <c r="D164" s="155">
        <f>D137+D160</f>
        <v>762554.62</v>
      </c>
      <c r="E164" s="155">
        <f>E137+E160</f>
        <v>600574.24</v>
      </c>
      <c r="F164" s="155">
        <f>F137+F160</f>
        <v>645273.94999999995</v>
      </c>
      <c r="G164" s="155">
        <f>G137+G160</f>
        <v>605928.43999999994</v>
      </c>
      <c r="H164" s="130">
        <f>H137+H160</f>
        <v>665928.43999999994</v>
      </c>
      <c r="I164"/>
      <c r="J164" s="130">
        <f>J137+J160</f>
        <v>704404.1399999999</v>
      </c>
      <c r="K164" s="130">
        <f>K137+K160</f>
        <v>505426.61999999988</v>
      </c>
      <c r="L164" s="130">
        <f>L137+L160</f>
        <v>392823.71999999986</v>
      </c>
      <c r="M164" s="130">
        <f>M137+M160</f>
        <v>381475.26999999984</v>
      </c>
      <c r="N164" s="130">
        <f>N137+N160</f>
        <v>441475.27</v>
      </c>
      <c r="O164"/>
      <c r="P164" s="130">
        <f>P137+P160</f>
        <v>380134.35000000003</v>
      </c>
      <c r="Q164" s="130">
        <f>Q137+Q160</f>
        <v>435269.14000000007</v>
      </c>
      <c r="R164" s="130">
        <f>R137+R160</f>
        <v>407157.4800000001</v>
      </c>
      <c r="S164" s="130">
        <f>S137+S160</f>
        <v>337133.56000000011</v>
      </c>
      <c r="T164" s="130">
        <f>T137+T160</f>
        <v>441475.27</v>
      </c>
      <c r="U164"/>
      <c r="V164" s="130">
        <f t="shared" ref="V164:AA164" si="36">V137+V160</f>
        <v>507834.85000000003</v>
      </c>
      <c r="W164" s="130">
        <f t="shared" si="36"/>
        <v>502734.85000000003</v>
      </c>
      <c r="X164" s="130">
        <f t="shared" si="36"/>
        <v>255684.92935666669</v>
      </c>
      <c r="Y164" s="130">
        <f t="shared" si="36"/>
        <v>339160.75268999999</v>
      </c>
      <c r="Z164" s="130">
        <f t="shared" si="36"/>
        <v>474241.78602333332</v>
      </c>
      <c r="AA164" s="130">
        <f t="shared" si="36"/>
        <v>222822.73935666669</v>
      </c>
      <c r="AB164"/>
      <c r="AC164" s="130">
        <f>AC137+AC160</f>
        <v>222822.73935666669</v>
      </c>
      <c r="AD164" s="130">
        <f>AD137+AD160</f>
        <v>496956.87538000004</v>
      </c>
      <c r="AE164" s="130">
        <f>AE137+AE160</f>
        <v>496956.87538000004</v>
      </c>
      <c r="AF164" s="130">
        <f>AF137+AF160</f>
        <v>594606.8753800001</v>
      </c>
      <c r="AG164" s="130">
        <f>AG137+AG160</f>
        <v>264384.23807000008</v>
      </c>
      <c r="AH164"/>
      <c r="AI164" s="130">
        <f t="shared" ref="AI164:AO164" si="37">AI137+AI160</f>
        <v>210566.81409333338</v>
      </c>
      <c r="AJ164" s="130">
        <f t="shared" si="37"/>
        <v>468111.03011666657</v>
      </c>
      <c r="AK164" s="130">
        <f t="shared" si="37"/>
        <v>712167.0794733332</v>
      </c>
      <c r="AL164" s="130">
        <f t="shared" si="37"/>
        <v>825385.79549666645</v>
      </c>
      <c r="AM164" s="130">
        <f t="shared" si="37"/>
        <v>525090.49151999969</v>
      </c>
      <c r="AN164" s="130">
        <f t="shared" si="37"/>
        <v>395060.35420999967</v>
      </c>
      <c r="AO164" s="130">
        <f t="shared" si="37"/>
        <v>162685.55023333291</v>
      </c>
      <c r="AP164" s="135"/>
      <c r="AQ164" s="37"/>
    </row>
    <row r="165" spans="1:43" s="27" customFormat="1" x14ac:dyDescent="0.25">
      <c r="B165" s="41"/>
      <c r="C165" s="41"/>
      <c r="D165" s="81"/>
      <c r="E165" s="81"/>
      <c r="F165" s="81"/>
      <c r="G165" s="81"/>
      <c r="H165" s="81"/>
      <c r="I165"/>
      <c r="J165" s="81"/>
      <c r="K165" s="81"/>
      <c r="L165" s="81"/>
      <c r="M165" s="81"/>
      <c r="N165" s="81"/>
      <c r="O165"/>
      <c r="P165" s="81"/>
      <c r="Q165" s="81"/>
      <c r="R165" s="81"/>
      <c r="S165" s="81"/>
      <c r="T165" s="81"/>
      <c r="U165"/>
      <c r="V165" s="229"/>
      <c r="W165" s="229"/>
      <c r="X165" s="229"/>
      <c r="Y165" s="229"/>
      <c r="Z165" s="229"/>
      <c r="AA165" s="81"/>
      <c r="AB165"/>
      <c r="AC165" s="229"/>
      <c r="AD165" s="229"/>
      <c r="AE165" s="229"/>
      <c r="AF165" s="229"/>
      <c r="AG165" s="81"/>
      <c r="AH165"/>
      <c r="AI165" s="81"/>
      <c r="AJ165" s="81"/>
      <c r="AK165" s="81"/>
      <c r="AL165" s="81"/>
      <c r="AM165" s="81"/>
      <c r="AN165" s="81"/>
      <c r="AO165" s="81"/>
      <c r="AP165" s="135"/>
      <c r="AQ165" s="37"/>
    </row>
    <row r="166" spans="1:43" s="27" customFormat="1" x14ac:dyDescent="0.25">
      <c r="D166" s="82"/>
      <c r="E166" s="82"/>
      <c r="F166" s="82"/>
      <c r="G166" s="82"/>
      <c r="H166" s="82"/>
      <c r="I166"/>
      <c r="J166" s="82"/>
      <c r="K166" s="82"/>
      <c r="L166" s="82"/>
      <c r="M166" s="82"/>
      <c r="N166" s="82"/>
      <c r="O166"/>
      <c r="P166" s="82"/>
      <c r="Q166" s="82"/>
      <c r="R166" s="82"/>
      <c r="S166" s="82"/>
      <c r="T166" s="82"/>
      <c r="U166"/>
      <c r="V166" s="21"/>
      <c r="W166" s="21"/>
      <c r="X166" s="21"/>
      <c r="Y166" s="21"/>
      <c r="Z166" s="21"/>
      <c r="AA166" s="82"/>
      <c r="AB166"/>
      <c r="AC166" s="21"/>
      <c r="AD166" s="21"/>
      <c r="AE166" s="21"/>
      <c r="AF166" s="21"/>
      <c r="AG166" s="82"/>
      <c r="AH166"/>
      <c r="AI166" s="82"/>
      <c r="AJ166" s="82"/>
      <c r="AK166" s="82"/>
      <c r="AL166" s="82"/>
      <c r="AM166" s="82"/>
      <c r="AN166" s="82"/>
      <c r="AO166" s="82"/>
      <c r="AP166" s="135"/>
      <c r="AQ166" s="37"/>
    </row>
    <row r="167" spans="1:43" s="27" customFormat="1" x14ac:dyDescent="0.25">
      <c r="A167" s="5"/>
      <c r="D167" s="82"/>
      <c r="E167" s="82"/>
      <c r="F167" s="82"/>
      <c r="G167" s="82"/>
      <c r="H167" s="82"/>
      <c r="I167"/>
      <c r="J167" s="120"/>
      <c r="K167" s="120"/>
      <c r="L167" s="120"/>
      <c r="M167" s="120"/>
      <c r="N167" s="120"/>
      <c r="O167"/>
      <c r="P167" s="120"/>
      <c r="Q167" s="120"/>
      <c r="R167" s="120"/>
      <c r="S167" s="120"/>
      <c r="T167" s="120"/>
      <c r="U167"/>
      <c r="V167" s="21"/>
      <c r="W167" s="21"/>
      <c r="X167" s="21"/>
      <c r="Y167" s="21"/>
      <c r="Z167" s="21"/>
      <c r="AA167" s="82"/>
      <c r="AB167"/>
      <c r="AC167" s="21"/>
      <c r="AD167" s="21"/>
      <c r="AE167" s="21"/>
      <c r="AF167" s="21"/>
      <c r="AG167" s="241"/>
      <c r="AH167"/>
      <c r="AI167" s="82"/>
      <c r="AJ167" s="82"/>
      <c r="AK167" s="82"/>
      <c r="AL167" s="82"/>
      <c r="AM167" s="82"/>
      <c r="AN167" s="82"/>
      <c r="AO167" s="82"/>
      <c r="AP167" s="135"/>
      <c r="AQ167" s="37"/>
    </row>
    <row r="168" spans="1:43" s="27" customFormat="1" x14ac:dyDescent="0.25">
      <c r="D168" s="82"/>
      <c r="E168" s="82"/>
      <c r="F168" s="82"/>
      <c r="G168" s="82"/>
      <c r="H168" s="82"/>
      <c r="I168"/>
      <c r="J168" s="60"/>
      <c r="K168" s="60"/>
      <c r="L168" s="60"/>
      <c r="M168" s="60"/>
      <c r="N168" s="60"/>
      <c r="O168"/>
      <c r="P168" s="62"/>
      <c r="Q168" s="62"/>
      <c r="R168" s="62"/>
      <c r="S168" s="62"/>
      <c r="T168" s="62"/>
      <c r="U168"/>
      <c r="V168" s="5"/>
      <c r="W168" s="5"/>
      <c r="X168" s="5"/>
      <c r="Y168" s="5"/>
      <c r="Z168" s="5"/>
      <c r="AB168"/>
      <c r="AC168" s="5"/>
      <c r="AD168" s="5"/>
      <c r="AE168" s="5"/>
      <c r="AF168" s="5"/>
      <c r="AG168" s="62" t="s">
        <v>158</v>
      </c>
      <c r="AH168"/>
      <c r="AI168" s="59" t="s">
        <v>160</v>
      </c>
      <c r="AJ168" s="59" t="s">
        <v>163</v>
      </c>
      <c r="AK168" s="62" t="s">
        <v>164</v>
      </c>
      <c r="AL168" s="62" t="s">
        <v>169</v>
      </c>
      <c r="AM168" s="62"/>
      <c r="AN168" s="62" t="s">
        <v>173</v>
      </c>
      <c r="AO168" s="62" t="s">
        <v>179</v>
      </c>
      <c r="AP168" s="135"/>
      <c r="AQ168" s="37"/>
    </row>
    <row r="169" spans="1:43" s="27" customFormat="1" x14ac:dyDescent="0.25">
      <c r="B169" s="5"/>
      <c r="D169" s="21"/>
      <c r="E169" s="21"/>
      <c r="F169" s="21"/>
      <c r="G169" s="21"/>
      <c r="H169" s="21"/>
      <c r="I169"/>
      <c r="J169" s="21"/>
      <c r="K169" s="21"/>
      <c r="L169" s="21"/>
      <c r="M169" s="21"/>
      <c r="N169" s="21"/>
      <c r="O169"/>
      <c r="P169" s="60"/>
      <c r="Q169" s="60"/>
      <c r="R169" s="60"/>
      <c r="S169" s="60"/>
      <c r="T169" s="60"/>
      <c r="U169"/>
      <c r="V169" s="60"/>
      <c r="W169" s="60"/>
      <c r="X169" s="60"/>
      <c r="Y169" s="60"/>
      <c r="Z169" s="60"/>
      <c r="AA169" s="60"/>
      <c r="AB169"/>
      <c r="AC169" s="60"/>
      <c r="AD169" s="60"/>
      <c r="AE169" s="60"/>
      <c r="AF169" s="60"/>
      <c r="AG169" s="62" t="s">
        <v>159</v>
      </c>
      <c r="AH169"/>
      <c r="AI169" s="59" t="s">
        <v>161</v>
      </c>
      <c r="AJ169" s="60"/>
      <c r="AK169" s="62" t="s">
        <v>165</v>
      </c>
      <c r="AL169" s="62" t="s">
        <v>170</v>
      </c>
      <c r="AM169" s="60"/>
      <c r="AN169" s="62" t="s">
        <v>174</v>
      </c>
      <c r="AO169" s="62" t="s">
        <v>180</v>
      </c>
      <c r="AP169" s="135"/>
    </row>
    <row r="170" spans="1:43" s="41" customFormat="1" x14ac:dyDescent="0.25">
      <c r="A170" s="5"/>
      <c r="B170" s="39"/>
      <c r="I170"/>
      <c r="O170"/>
      <c r="P170" s="59"/>
      <c r="Q170" s="59"/>
      <c r="R170" s="59"/>
      <c r="S170" s="59"/>
      <c r="T170" s="59"/>
      <c r="U170"/>
      <c r="V170" s="230"/>
      <c r="W170" s="230"/>
      <c r="X170" s="230"/>
      <c r="Y170" s="230"/>
      <c r="Z170" s="230"/>
      <c r="AA170" s="105"/>
      <c r="AB170"/>
      <c r="AC170" s="230"/>
      <c r="AD170" s="230"/>
      <c r="AE170" s="230"/>
      <c r="AF170" s="230"/>
      <c r="AH170"/>
      <c r="AI170" s="59" t="s">
        <v>162</v>
      </c>
      <c r="AJ170" s="59"/>
      <c r="AK170" s="62" t="s">
        <v>166</v>
      </c>
      <c r="AL170" s="62" t="s">
        <v>171</v>
      </c>
      <c r="AM170" s="59"/>
      <c r="AN170" s="62" t="s">
        <v>175</v>
      </c>
      <c r="AO170" s="62" t="s">
        <v>181</v>
      </c>
      <c r="AP170" s="138"/>
    </row>
    <row r="171" spans="1:43" s="27" customFormat="1" x14ac:dyDescent="0.25">
      <c r="A171" s="39"/>
      <c r="B171" s="5"/>
      <c r="I171"/>
      <c r="O171"/>
      <c r="P171" s="59"/>
      <c r="Q171" s="59"/>
      <c r="R171" s="59"/>
      <c r="S171" s="59"/>
      <c r="T171" s="59"/>
      <c r="U171"/>
      <c r="V171" s="231"/>
      <c r="W171" s="231"/>
      <c r="X171" s="231"/>
      <c r="Y171" s="231"/>
      <c r="Z171" s="231"/>
      <c r="AA171" s="59"/>
      <c r="AB171"/>
      <c r="AC171" s="231"/>
      <c r="AD171" s="231"/>
      <c r="AE171" s="231"/>
      <c r="AF171" s="231"/>
      <c r="AG171" s="59"/>
      <c r="AH171"/>
      <c r="AK171" s="62" t="s">
        <v>167</v>
      </c>
      <c r="AL171" s="62" t="s">
        <v>172</v>
      </c>
      <c r="AM171" s="59"/>
      <c r="AN171" s="62" t="s">
        <v>176</v>
      </c>
      <c r="AO171" s="62" t="s">
        <v>182</v>
      </c>
      <c r="AP171" s="135"/>
    </row>
    <row r="172" spans="1:43" s="27" customFormat="1" x14ac:dyDescent="0.25">
      <c r="A172" s="5"/>
      <c r="B172" s="5"/>
      <c r="I172"/>
      <c r="O172"/>
      <c r="P172" s="59"/>
      <c r="Q172" s="59"/>
      <c r="R172" s="59"/>
      <c r="S172" s="59"/>
      <c r="T172" s="59"/>
      <c r="U172"/>
      <c r="V172" s="231"/>
      <c r="W172" s="231"/>
      <c r="X172" s="231"/>
      <c r="Y172" s="231"/>
      <c r="Z172" s="231"/>
      <c r="AA172" s="59"/>
      <c r="AB172"/>
      <c r="AC172" s="231"/>
      <c r="AD172" s="231"/>
      <c r="AE172" s="231"/>
      <c r="AF172" s="231"/>
      <c r="AH172"/>
      <c r="AI172" s="59"/>
      <c r="AJ172" s="59"/>
      <c r="AK172" s="62" t="s">
        <v>168</v>
      </c>
      <c r="AL172" s="59"/>
      <c r="AM172" s="59"/>
      <c r="AN172" s="62" t="s">
        <v>177</v>
      </c>
      <c r="AO172" s="59"/>
      <c r="AP172" s="135"/>
    </row>
    <row r="173" spans="1:43" s="27" customFormat="1" x14ac:dyDescent="0.25">
      <c r="A173" s="5"/>
      <c r="B173" s="5"/>
      <c r="I173"/>
      <c r="O173"/>
      <c r="P173" s="59"/>
      <c r="Q173" s="59"/>
      <c r="R173" s="59"/>
      <c r="S173" s="59"/>
      <c r="T173" s="59"/>
      <c r="U173"/>
      <c r="V173" s="231"/>
      <c r="W173" s="231"/>
      <c r="X173" s="231"/>
      <c r="Y173" s="231"/>
      <c r="Z173" s="231"/>
      <c r="AA173" s="59"/>
      <c r="AB173"/>
      <c r="AC173" s="231"/>
      <c r="AD173" s="231"/>
      <c r="AE173" s="231"/>
      <c r="AF173" s="231"/>
      <c r="AH173"/>
      <c r="AI173" s="59"/>
      <c r="AJ173" s="59"/>
      <c r="AK173" s="231"/>
      <c r="AL173" s="59"/>
      <c r="AM173" s="59"/>
      <c r="AN173" s="62" t="s">
        <v>178</v>
      </c>
      <c r="AO173" s="59"/>
      <c r="AP173" s="135"/>
    </row>
    <row r="174" spans="1:43" s="27" customFormat="1" x14ac:dyDescent="0.25">
      <c r="A174" s="5"/>
      <c r="B174" s="5"/>
      <c r="I174"/>
      <c r="O174"/>
      <c r="U174"/>
      <c r="V174" s="5"/>
      <c r="W174" s="5"/>
      <c r="X174" s="5"/>
      <c r="Y174" s="5"/>
      <c r="Z174" s="5"/>
      <c r="AB174"/>
      <c r="AC174" s="5"/>
      <c r="AD174" s="5"/>
      <c r="AE174" s="5"/>
      <c r="AF174" s="5"/>
      <c r="AH174"/>
      <c r="AP174" s="135"/>
    </row>
    <row r="175" spans="1:43" s="27" customFormat="1" x14ac:dyDescent="0.25">
      <c r="A175" s="5"/>
      <c r="B175" s="5"/>
      <c r="I175"/>
      <c r="O175"/>
      <c r="U175"/>
      <c r="V175" s="5"/>
      <c r="W175" s="5"/>
      <c r="X175" s="5"/>
      <c r="Y175" s="5"/>
      <c r="Z175" s="5"/>
      <c r="AB175"/>
      <c r="AC175" s="5"/>
      <c r="AD175" s="5"/>
      <c r="AE175" s="5"/>
      <c r="AF175" s="5"/>
      <c r="AH175"/>
      <c r="AP175" s="135"/>
      <c r="AQ175" s="82"/>
    </row>
    <row r="176" spans="1:43" s="27" customFormat="1" x14ac:dyDescent="0.25">
      <c r="A176" s="5"/>
      <c r="B176" s="5"/>
      <c r="D176" s="59"/>
      <c r="E176" s="59"/>
      <c r="F176" s="59"/>
      <c r="G176" s="59"/>
      <c r="H176" s="59"/>
      <c r="I176"/>
      <c r="O176"/>
      <c r="U176"/>
      <c r="V176" s="5"/>
      <c r="W176" s="5"/>
      <c r="X176" s="5"/>
      <c r="Y176" s="5"/>
      <c r="Z176" s="5"/>
      <c r="AB176"/>
      <c r="AC176" s="5"/>
      <c r="AD176" s="5"/>
      <c r="AE176" s="5"/>
      <c r="AF176" s="5"/>
      <c r="AH176"/>
      <c r="AP176" s="135"/>
    </row>
    <row r="177" spans="1:47" s="27" customFormat="1" x14ac:dyDescent="0.25">
      <c r="A177" s="5"/>
      <c r="B177" s="5"/>
      <c r="D177" s="62"/>
      <c r="E177" s="62"/>
      <c r="F177" s="62"/>
      <c r="G177" s="62"/>
      <c r="H177" s="62"/>
      <c r="I177"/>
      <c r="O177"/>
      <c r="U177"/>
      <c r="V177" s="5"/>
      <c r="W177" s="5"/>
      <c r="X177" s="5"/>
      <c r="Y177" s="5"/>
      <c r="Z177" s="5"/>
      <c r="AB177"/>
      <c r="AC177" s="5"/>
      <c r="AD177" s="5"/>
      <c r="AE177" s="5"/>
      <c r="AF177" s="5"/>
      <c r="AH177"/>
      <c r="AP177" s="135"/>
    </row>
    <row r="178" spans="1:47" s="41" customFormat="1" x14ac:dyDescent="0.25">
      <c r="A178" s="5"/>
      <c r="B178" s="39"/>
      <c r="D178" s="61"/>
      <c r="E178" s="61"/>
      <c r="F178" s="61"/>
      <c r="G178" s="61"/>
      <c r="H178" s="61"/>
      <c r="I178"/>
      <c r="O178"/>
      <c r="U178"/>
      <c r="V178" s="39"/>
      <c r="W178" s="39"/>
      <c r="X178" s="39"/>
      <c r="Y178" s="39"/>
      <c r="Z178" s="39"/>
      <c r="AB178"/>
      <c r="AC178" s="39"/>
      <c r="AD178" s="39"/>
      <c r="AE178" s="39"/>
      <c r="AF178" s="39"/>
      <c r="AH178"/>
      <c r="AP178" s="138"/>
    </row>
    <row r="179" spans="1:47" s="41" customFormat="1" x14ac:dyDescent="0.25">
      <c r="A179" s="39"/>
      <c r="B179" s="39"/>
      <c r="D179" s="61"/>
      <c r="E179" s="61"/>
      <c r="F179" s="61"/>
      <c r="G179" s="61"/>
      <c r="H179" s="61"/>
      <c r="I179"/>
      <c r="O179"/>
      <c r="U179"/>
      <c r="V179" s="39"/>
      <c r="W179" s="39"/>
      <c r="X179" s="39"/>
      <c r="Y179" s="39"/>
      <c r="Z179" s="39"/>
      <c r="AB179"/>
      <c r="AC179" s="39"/>
      <c r="AD179" s="39"/>
      <c r="AE179" s="39"/>
      <c r="AF179" s="39"/>
      <c r="AH179"/>
      <c r="AP179" s="138"/>
    </row>
    <row r="180" spans="1:47" s="38" customFormat="1" x14ac:dyDescent="0.25">
      <c r="A180" s="250"/>
      <c r="B180" s="67"/>
      <c r="C180" s="251"/>
      <c r="D180" s="252"/>
      <c r="E180" s="252"/>
      <c r="F180" s="252"/>
      <c r="G180" s="252"/>
      <c r="H180" s="252"/>
      <c r="I180" s="253"/>
      <c r="O180" s="253"/>
      <c r="U180" s="253"/>
      <c r="V180" s="67"/>
      <c r="W180" s="67"/>
      <c r="X180" s="67"/>
      <c r="Y180" s="67"/>
      <c r="Z180" s="67"/>
      <c r="AB180" s="253"/>
      <c r="AC180" s="67"/>
      <c r="AD180" s="67"/>
      <c r="AE180" s="67"/>
      <c r="AF180" s="67"/>
      <c r="AH180" s="253"/>
      <c r="AP180" s="254"/>
      <c r="AQ180" s="255"/>
    </row>
    <row r="181" spans="1:47" s="38" customFormat="1" x14ac:dyDescent="0.25">
      <c r="A181" s="67"/>
      <c r="B181" s="67"/>
      <c r="D181" s="188"/>
      <c r="E181" s="188"/>
      <c r="F181" s="188"/>
      <c r="G181" s="188"/>
      <c r="H181" s="188"/>
      <c r="I181" s="253"/>
      <c r="J181" s="188"/>
      <c r="K181" s="188"/>
      <c r="L181" s="188"/>
      <c r="M181" s="188"/>
      <c r="N181" s="188"/>
      <c r="O181" s="253"/>
      <c r="P181" s="188"/>
      <c r="Q181" s="188"/>
      <c r="R181" s="188"/>
      <c r="S181" s="188"/>
      <c r="T181" s="188"/>
      <c r="U181" s="253"/>
      <c r="V181" s="256"/>
      <c r="W181" s="256"/>
      <c r="X181" s="256"/>
      <c r="Y181" s="256"/>
      <c r="Z181" s="256"/>
      <c r="AA181" s="188"/>
      <c r="AB181" s="253"/>
      <c r="AC181" s="256"/>
      <c r="AD181" s="256"/>
      <c r="AE181" s="256"/>
      <c r="AF181" s="256"/>
      <c r="AG181" s="188"/>
      <c r="AH181" s="253"/>
      <c r="AI181" s="188"/>
      <c r="AJ181" s="188"/>
      <c r="AK181" s="188"/>
      <c r="AL181" s="188"/>
      <c r="AM181" s="188"/>
      <c r="AN181" s="188"/>
      <c r="AO181" s="188"/>
      <c r="AP181" s="254"/>
      <c r="AQ181" s="257"/>
    </row>
    <row r="182" spans="1:47" s="38" customFormat="1" x14ac:dyDescent="0.25">
      <c r="A182" s="67"/>
      <c r="B182" s="67"/>
      <c r="D182" s="252"/>
      <c r="E182" s="252"/>
      <c r="F182" s="252"/>
      <c r="G182" s="252"/>
      <c r="H182" s="252"/>
      <c r="I182" s="253"/>
      <c r="J182" s="252"/>
      <c r="K182" s="252"/>
      <c r="L182" s="252"/>
      <c r="M182" s="252"/>
      <c r="N182" s="252"/>
      <c r="O182" s="253"/>
      <c r="P182" s="252"/>
      <c r="Q182" s="252"/>
      <c r="R182" s="252"/>
      <c r="S182" s="252"/>
      <c r="T182" s="252"/>
      <c r="U182" s="253"/>
      <c r="V182" s="258"/>
      <c r="W182" s="258"/>
      <c r="X182" s="258"/>
      <c r="Y182" s="258"/>
      <c r="Z182" s="258"/>
      <c r="AA182" s="252"/>
      <c r="AB182" s="253"/>
      <c r="AC182" s="258"/>
      <c r="AD182" s="258"/>
      <c r="AE182" s="258"/>
      <c r="AF182" s="258"/>
      <c r="AG182" s="252"/>
      <c r="AH182" s="253"/>
      <c r="AI182" s="252"/>
      <c r="AJ182" s="252"/>
      <c r="AK182" s="252"/>
      <c r="AL182" s="252"/>
      <c r="AM182" s="252"/>
      <c r="AN182" s="252"/>
      <c r="AO182" s="252"/>
      <c r="AP182" s="254"/>
      <c r="AQ182" s="257"/>
      <c r="AR182" s="92"/>
      <c r="AS182" s="92"/>
      <c r="AT182" s="92"/>
      <c r="AU182" s="92"/>
    </row>
    <row r="183" spans="1:47" s="38" customFormat="1" x14ac:dyDescent="0.25">
      <c r="A183" s="67"/>
      <c r="B183" s="67"/>
      <c r="D183" s="188"/>
      <c r="E183" s="188"/>
      <c r="F183" s="188"/>
      <c r="G183" s="188"/>
      <c r="H183" s="188"/>
      <c r="I183" s="253"/>
      <c r="J183" s="188"/>
      <c r="K183" s="188"/>
      <c r="L183" s="188"/>
      <c r="M183" s="188"/>
      <c r="N183" s="188"/>
      <c r="O183" s="253"/>
      <c r="P183" s="188"/>
      <c r="Q183" s="188"/>
      <c r="R183" s="188"/>
      <c r="S183" s="188"/>
      <c r="T183" s="188"/>
      <c r="U183" s="253"/>
      <c r="V183" s="256"/>
      <c r="W183" s="256"/>
      <c r="X183" s="256"/>
      <c r="Y183" s="256"/>
      <c r="Z183" s="256"/>
      <c r="AA183" s="188"/>
      <c r="AB183" s="253"/>
      <c r="AC183" s="256"/>
      <c r="AD183" s="256"/>
      <c r="AE183" s="256"/>
      <c r="AF183" s="256"/>
      <c r="AG183" s="188"/>
      <c r="AH183" s="253"/>
      <c r="AI183" s="188"/>
      <c r="AJ183" s="188"/>
      <c r="AK183" s="188"/>
      <c r="AL183" s="188"/>
      <c r="AM183" s="188"/>
      <c r="AN183" s="188"/>
      <c r="AO183" s="188"/>
      <c r="AP183" s="254"/>
      <c r="AQ183" s="257"/>
    </row>
    <row r="184" spans="1:47" s="38" customFormat="1" x14ac:dyDescent="0.25">
      <c r="A184" s="67"/>
      <c r="B184" s="67"/>
      <c r="C184" s="92"/>
      <c r="D184" s="188"/>
      <c r="E184" s="188"/>
      <c r="F184" s="188"/>
      <c r="G184" s="188"/>
      <c r="H184" s="188"/>
      <c r="I184" s="253"/>
      <c r="J184" s="257"/>
      <c r="K184" s="257"/>
      <c r="L184" s="257"/>
      <c r="M184" s="257"/>
      <c r="N184" s="257"/>
      <c r="O184" s="253"/>
      <c r="P184" s="257"/>
      <c r="Q184" s="257"/>
      <c r="R184" s="257"/>
      <c r="S184" s="257"/>
      <c r="T184" s="257"/>
      <c r="U184" s="253"/>
      <c r="V184" s="64"/>
      <c r="W184" s="64"/>
      <c r="X184" s="64"/>
      <c r="Y184" s="64"/>
      <c r="Z184" s="64"/>
      <c r="AA184" s="257"/>
      <c r="AB184" s="253"/>
      <c r="AC184" s="64"/>
      <c r="AD184" s="64"/>
      <c r="AE184" s="64"/>
      <c r="AF184" s="64"/>
      <c r="AG184" s="257"/>
      <c r="AH184" s="253"/>
      <c r="AI184" s="257"/>
      <c r="AJ184" s="257"/>
      <c r="AK184" s="257"/>
      <c r="AL184" s="257"/>
      <c r="AM184" s="257"/>
      <c r="AN184" s="257"/>
      <c r="AO184" s="257"/>
      <c r="AP184" s="142"/>
      <c r="AQ184" s="92"/>
      <c r="AR184" s="92"/>
      <c r="AS184" s="92"/>
      <c r="AT184" s="92"/>
      <c r="AU184" s="92"/>
    </row>
    <row r="185" spans="1:47" s="27" customFormat="1" x14ac:dyDescent="0.25">
      <c r="A185" s="5"/>
      <c r="B185" s="5"/>
      <c r="D185" s="51"/>
      <c r="E185" s="51"/>
      <c r="F185" s="51"/>
      <c r="G185" s="51"/>
      <c r="H185" s="51"/>
      <c r="I185"/>
      <c r="O185"/>
      <c r="U185"/>
      <c r="V185" s="5"/>
      <c r="W185" s="5"/>
      <c r="X185" s="5"/>
      <c r="Y185" s="5"/>
      <c r="Z185" s="5"/>
      <c r="AB185"/>
      <c r="AC185" s="5"/>
      <c r="AD185" s="5"/>
      <c r="AE185" s="5"/>
      <c r="AF185" s="5"/>
      <c r="AH185"/>
      <c r="AP185" s="135"/>
    </row>
    <row r="186" spans="1:47" s="41" customFormat="1" x14ac:dyDescent="0.25">
      <c r="A186" s="5"/>
      <c r="B186" s="39"/>
      <c r="D186" s="52"/>
      <c r="E186" s="52"/>
      <c r="F186" s="52"/>
      <c r="G186" s="52"/>
      <c r="H186" s="52"/>
      <c r="I186"/>
      <c r="O186"/>
      <c r="U186"/>
      <c r="V186" s="39"/>
      <c r="W186" s="39"/>
      <c r="X186" s="39"/>
      <c r="Y186" s="39"/>
      <c r="Z186" s="39"/>
      <c r="AB186"/>
      <c r="AH186"/>
      <c r="AP186" s="138"/>
    </row>
    <row r="187" spans="1:47" s="27" customFormat="1" x14ac:dyDescent="0.25">
      <c r="A187" s="39"/>
      <c r="B187" s="5"/>
      <c r="I187"/>
      <c r="O187"/>
      <c r="U187"/>
      <c r="V187" s="5"/>
      <c r="W187" s="5"/>
      <c r="X187" s="5"/>
      <c r="Y187" s="5"/>
      <c r="Z187" s="5"/>
      <c r="AB187"/>
      <c r="AH187"/>
      <c r="AO187" s="82"/>
      <c r="AP187" s="135"/>
    </row>
    <row r="188" spans="1:47" s="27" customFormat="1" x14ac:dyDescent="0.25">
      <c r="A188" s="5"/>
      <c r="B188" s="5"/>
      <c r="I188"/>
      <c r="O188"/>
      <c r="U188"/>
      <c r="V188" s="5"/>
      <c r="W188" s="5"/>
      <c r="X188" s="5"/>
      <c r="Y188" s="5"/>
      <c r="Z188" s="5"/>
      <c r="AB188"/>
      <c r="AH188"/>
      <c r="AP188" s="135"/>
    </row>
    <row r="189" spans="1:47" s="27" customFormat="1" x14ac:dyDescent="0.25">
      <c r="A189" s="5"/>
      <c r="B189" s="5"/>
      <c r="I189"/>
      <c r="O189"/>
      <c r="U189"/>
      <c r="V189" s="5"/>
      <c r="W189" s="5"/>
      <c r="X189" s="5"/>
      <c r="Y189" s="5"/>
      <c r="Z189" s="5"/>
      <c r="AB189"/>
      <c r="AH189"/>
      <c r="AP189" s="135"/>
    </row>
    <row r="190" spans="1:47" s="27" customFormat="1" x14ac:dyDescent="0.25">
      <c r="A190" s="5"/>
      <c r="B190" s="247" t="s">
        <v>204</v>
      </c>
      <c r="I190"/>
      <c r="O190"/>
      <c r="U190"/>
      <c r="V190" s="5"/>
      <c r="W190" s="5"/>
      <c r="X190" s="5"/>
      <c r="Y190" s="5"/>
      <c r="Z190" s="5"/>
      <c r="AB190"/>
      <c r="AH190"/>
      <c r="AP190" s="135"/>
    </row>
    <row r="191" spans="1:47" s="27" customFormat="1" x14ac:dyDescent="0.25">
      <c r="A191" s="5"/>
      <c r="B191" s="5"/>
      <c r="I191"/>
      <c r="O191"/>
      <c r="U191"/>
      <c r="V191" s="5"/>
      <c r="W191" s="5"/>
      <c r="X191" s="5"/>
      <c r="Y191" s="5"/>
      <c r="Z191" s="5"/>
      <c r="AB191"/>
      <c r="AH191"/>
      <c r="AP191" s="135"/>
    </row>
    <row r="192" spans="1:47" s="27" customFormat="1" x14ac:dyDescent="0.25">
      <c r="A192" s="5"/>
      <c r="B192" s="5"/>
      <c r="I192"/>
      <c r="O192"/>
      <c r="U192"/>
      <c r="V192" s="5"/>
      <c r="W192" s="5"/>
      <c r="X192" s="5"/>
      <c r="Y192" s="5"/>
      <c r="Z192" s="5"/>
      <c r="AB192"/>
      <c r="AH192"/>
      <c r="AP192" s="135"/>
    </row>
    <row r="193" spans="1:42" s="27" customFormat="1" x14ac:dyDescent="0.25">
      <c r="A193" s="5"/>
      <c r="B193" s="5"/>
      <c r="I193"/>
      <c r="O193"/>
      <c r="U193"/>
      <c r="V193" s="5"/>
      <c r="W193" s="5"/>
      <c r="X193" s="5"/>
      <c r="Y193" s="5"/>
      <c r="Z193" s="5"/>
      <c r="AB193"/>
      <c r="AH193"/>
      <c r="AP193" s="135"/>
    </row>
    <row r="194" spans="1:42" s="27" customFormat="1" x14ac:dyDescent="0.25">
      <c r="A194" s="5"/>
      <c r="B194" s="5"/>
      <c r="I194"/>
      <c r="O194"/>
      <c r="U194"/>
      <c r="V194" s="5"/>
      <c r="W194" s="5"/>
      <c r="X194" s="5"/>
      <c r="Y194" s="5"/>
      <c r="Z194" s="5"/>
      <c r="AB194"/>
      <c r="AH194"/>
      <c r="AP194" s="135"/>
    </row>
    <row r="195" spans="1:42" s="27" customFormat="1" x14ac:dyDescent="0.25">
      <c r="A195" s="5"/>
      <c r="B195" s="5"/>
      <c r="I195"/>
      <c r="O195"/>
      <c r="U195"/>
      <c r="V195" s="5"/>
      <c r="W195" s="5"/>
      <c r="X195" s="5"/>
      <c r="Y195" s="5"/>
      <c r="Z195" s="5"/>
      <c r="AB195"/>
      <c r="AH195"/>
      <c r="AP195" s="135"/>
    </row>
    <row r="196" spans="1:42" s="27" customFormat="1" x14ac:dyDescent="0.25">
      <c r="A196" s="5"/>
      <c r="B196" s="5"/>
      <c r="I196"/>
      <c r="O196"/>
      <c r="U196"/>
      <c r="V196" s="5"/>
      <c r="W196" s="5"/>
      <c r="X196" s="5"/>
      <c r="Y196" s="5"/>
      <c r="Z196" s="5"/>
      <c r="AB196"/>
      <c r="AH196"/>
      <c r="AP196" s="135"/>
    </row>
    <row r="197" spans="1:42" s="27" customFormat="1" x14ac:dyDescent="0.25">
      <c r="A197" s="5"/>
      <c r="B197" s="5"/>
      <c r="I197"/>
      <c r="O197"/>
      <c r="U197"/>
      <c r="V197" s="5"/>
      <c r="W197" s="5"/>
      <c r="X197" s="5"/>
      <c r="Y197" s="5"/>
      <c r="Z197" s="5"/>
      <c r="AB197"/>
      <c r="AH197"/>
      <c r="AP197" s="135"/>
    </row>
    <row r="198" spans="1:42" s="27" customFormat="1" x14ac:dyDescent="0.25">
      <c r="A198" s="5"/>
      <c r="B198" s="5"/>
      <c r="I198"/>
      <c r="O198"/>
      <c r="U198"/>
      <c r="V198" s="5"/>
      <c r="W198" s="5"/>
      <c r="X198" s="5"/>
      <c r="Y198" s="5"/>
      <c r="Z198" s="5"/>
      <c r="AB198"/>
      <c r="AH198"/>
      <c r="AP198" s="135"/>
    </row>
    <row r="199" spans="1:42" s="27" customFormat="1" x14ac:dyDescent="0.25">
      <c r="A199" s="5"/>
      <c r="B199" s="5"/>
      <c r="I199"/>
      <c r="O199"/>
      <c r="U199"/>
      <c r="V199" s="5"/>
      <c r="W199" s="5"/>
      <c r="X199" s="5"/>
      <c r="Y199" s="5"/>
      <c r="Z199" s="5"/>
      <c r="AB199"/>
      <c r="AH199"/>
      <c r="AP199" s="135"/>
    </row>
    <row r="200" spans="1:42" s="27" customFormat="1" x14ac:dyDescent="0.25">
      <c r="A200" s="5"/>
      <c r="B200" s="5"/>
      <c r="I200"/>
      <c r="O200"/>
      <c r="U200"/>
      <c r="V200" s="5"/>
      <c r="W200" s="5"/>
      <c r="X200" s="5"/>
      <c r="Y200" s="5"/>
      <c r="Z200" s="5"/>
      <c r="AB200"/>
      <c r="AH200"/>
      <c r="AP200" s="135"/>
    </row>
    <row r="201" spans="1:42" s="27" customFormat="1" x14ac:dyDescent="0.25">
      <c r="A201" s="5"/>
      <c r="B201" s="5"/>
      <c r="I201"/>
      <c r="O201"/>
      <c r="U201"/>
      <c r="V201" s="5"/>
      <c r="W201" s="5"/>
      <c r="X201" s="5"/>
      <c r="Y201" s="5"/>
      <c r="Z201" s="5"/>
      <c r="AB201"/>
      <c r="AH201"/>
      <c r="AP201" s="135"/>
    </row>
    <row r="202" spans="1:42" s="27" customFormat="1" x14ac:dyDescent="0.25">
      <c r="A202" s="5"/>
      <c r="B202" s="5"/>
      <c r="I202"/>
      <c r="O202"/>
      <c r="U202"/>
      <c r="V202" s="5"/>
      <c r="W202" s="5"/>
      <c r="X202" s="5"/>
      <c r="Y202" s="5"/>
      <c r="Z202" s="5"/>
      <c r="AB202"/>
      <c r="AH202"/>
      <c r="AP202" s="135"/>
    </row>
    <row r="203" spans="1:42" s="27" customFormat="1" x14ac:dyDescent="0.25">
      <c r="A203" s="5"/>
      <c r="B203" s="5"/>
      <c r="I203"/>
      <c r="O203"/>
      <c r="U203"/>
      <c r="V203" s="5"/>
      <c r="W203" s="5"/>
      <c r="X203" s="5"/>
      <c r="Y203" s="5"/>
      <c r="Z203" s="5"/>
      <c r="AB203"/>
      <c r="AH203"/>
      <c r="AP203" s="135"/>
    </row>
    <row r="204" spans="1:42" x14ac:dyDescent="0.25">
      <c r="A204" s="5"/>
    </row>
  </sheetData>
  <sortState xmlns:xlrd2="http://schemas.microsoft.com/office/spreadsheetml/2017/richdata2" ref="B17:B52">
    <sortCondition ref="B17:B52"/>
  </sortState>
  <mergeCells count="3">
    <mergeCell ref="H151:N151"/>
    <mergeCell ref="H8:N8"/>
    <mergeCell ref="P8:AO8"/>
  </mergeCells>
  <phoneticPr fontId="28" type="noConversion"/>
  <printOptions gridLines="1"/>
  <pageMargins left="0.7" right="0.7" top="0.75" bottom="0.75" header="0.3" footer="0.3"/>
  <pageSetup paperSize="5" scale="39" fitToHeight="2" orientation="landscape" r:id="rId1"/>
  <ignoredErrors>
    <ignoredError sqref="Q1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E194-7C4B-4D3F-93FF-48276282DF19}">
  <dimension ref="B2:R65"/>
  <sheetViews>
    <sheetView zoomScale="110" zoomScaleNormal="110" workbookViewId="0">
      <pane xSplit="3" ySplit="3" topLeftCell="D4" activePane="bottomRight" state="frozen"/>
      <selection pane="topRight"/>
      <selection pane="bottomLeft"/>
      <selection pane="bottomRight" activeCell="H14" sqref="H14"/>
    </sheetView>
  </sheetViews>
  <sheetFormatPr defaultRowHeight="15" x14ac:dyDescent="0.25"/>
  <cols>
    <col min="2" max="2" width="32.7109375" customWidth="1"/>
    <col min="3" max="3" width="11.42578125" bestFit="1" customWidth="1"/>
    <col min="4" max="4" width="20.5703125" bestFit="1" customWidth="1"/>
    <col min="5" max="5" width="11.7109375" customWidth="1"/>
    <col min="6" max="7" width="9.5703125" bestFit="1" customWidth="1"/>
    <col min="8" max="8" width="10.5703125" bestFit="1" customWidth="1"/>
    <col min="9" max="9" width="9.85546875" bestFit="1" customWidth="1"/>
    <col min="10" max="10" width="11.42578125" bestFit="1" customWidth="1"/>
    <col min="11" max="17" width="12.42578125" bestFit="1" customWidth="1"/>
    <col min="18" max="18" width="10.85546875" bestFit="1" customWidth="1"/>
  </cols>
  <sheetData>
    <row r="2" spans="2:17" x14ac:dyDescent="0.25">
      <c r="E2" s="99"/>
    </row>
    <row r="3" spans="2:17" x14ac:dyDescent="0.25">
      <c r="B3" s="45" t="s">
        <v>14</v>
      </c>
      <c r="E3" s="44"/>
      <c r="F3" s="44">
        <v>44571</v>
      </c>
      <c r="G3" s="44">
        <f>F3+31</f>
        <v>44602</v>
      </c>
      <c r="H3" s="44">
        <f>G3+28</f>
        <v>44630</v>
      </c>
      <c r="I3" s="44">
        <f t="shared" ref="I3:P3" si="0">H3+31</f>
        <v>44661</v>
      </c>
      <c r="J3" s="44">
        <f>I3+30</f>
        <v>44691</v>
      </c>
      <c r="K3" s="44">
        <f t="shared" si="0"/>
        <v>44722</v>
      </c>
      <c r="L3" s="44">
        <f>K3+30</f>
        <v>44752</v>
      </c>
      <c r="M3" s="44">
        <f t="shared" si="0"/>
        <v>44783</v>
      </c>
      <c r="N3" s="44">
        <f t="shared" si="0"/>
        <v>44814</v>
      </c>
      <c r="O3" s="44">
        <f>N3+30</f>
        <v>44844</v>
      </c>
      <c r="P3" s="44">
        <f t="shared" si="0"/>
        <v>44875</v>
      </c>
      <c r="Q3" s="44">
        <f>P3+30</f>
        <v>44905</v>
      </c>
    </row>
    <row r="4" spans="2:17" x14ac:dyDescent="0.25">
      <c r="H4" t="s">
        <v>192</v>
      </c>
    </row>
    <row r="5" spans="2:17" x14ac:dyDescent="0.25">
      <c r="B5" s="50" t="s">
        <v>15</v>
      </c>
    </row>
    <row r="6" spans="2:17" x14ac:dyDescent="0.25">
      <c r="B6" t="s">
        <v>16</v>
      </c>
      <c r="C6" t="s">
        <v>17</v>
      </c>
      <c r="D6" s="110" t="s">
        <v>127</v>
      </c>
    </row>
    <row r="7" spans="2:17" x14ac:dyDescent="0.25">
      <c r="B7" t="s">
        <v>126</v>
      </c>
      <c r="C7" s="43">
        <v>25</v>
      </c>
      <c r="D7">
        <f>20*4</f>
        <v>80</v>
      </c>
      <c r="E7" s="47"/>
      <c r="F7" s="47">
        <f>D7*C7</f>
        <v>2000</v>
      </c>
      <c r="G7" s="47">
        <f t="shared" ref="G7:G9" si="1">F7</f>
        <v>2000</v>
      </c>
      <c r="H7" s="47">
        <f>G7</f>
        <v>2000</v>
      </c>
      <c r="I7" s="47">
        <f>H7*1.03</f>
        <v>2060</v>
      </c>
      <c r="J7" s="47">
        <f t="shared" ref="J7:Q7" si="2">I7</f>
        <v>2060</v>
      </c>
      <c r="K7" s="47">
        <f t="shared" si="2"/>
        <v>2060</v>
      </c>
      <c r="L7" s="47">
        <f t="shared" si="2"/>
        <v>2060</v>
      </c>
      <c r="M7" s="47">
        <f t="shared" si="2"/>
        <v>2060</v>
      </c>
      <c r="N7" s="47">
        <f t="shared" si="2"/>
        <v>2060</v>
      </c>
      <c r="O7" s="47">
        <f t="shared" si="2"/>
        <v>2060</v>
      </c>
      <c r="P7" s="47">
        <f t="shared" si="2"/>
        <v>2060</v>
      </c>
      <c r="Q7" s="47">
        <f t="shared" si="2"/>
        <v>2060</v>
      </c>
    </row>
    <row r="8" spans="2:17" x14ac:dyDescent="0.25">
      <c r="B8" t="s">
        <v>128</v>
      </c>
      <c r="C8" s="43">
        <v>50</v>
      </c>
      <c r="D8">
        <f>20*4</f>
        <v>80</v>
      </c>
      <c r="E8" s="47"/>
      <c r="F8" s="47">
        <f t="shared" ref="F8:F9" si="3">D8*C8</f>
        <v>4000</v>
      </c>
      <c r="G8" s="47">
        <f t="shared" si="1"/>
        <v>4000</v>
      </c>
      <c r="H8" s="47">
        <f t="shared" ref="H8:H9" si="4">G8</f>
        <v>4000</v>
      </c>
      <c r="I8" s="47">
        <f t="shared" ref="I8:I9" si="5">H8*1.03</f>
        <v>4120</v>
      </c>
      <c r="J8" s="47">
        <f t="shared" ref="J8:Q9" si="6">I8</f>
        <v>4120</v>
      </c>
      <c r="K8" s="47">
        <f t="shared" si="6"/>
        <v>4120</v>
      </c>
      <c r="L8" s="47">
        <f t="shared" si="6"/>
        <v>4120</v>
      </c>
      <c r="M8" s="47">
        <f t="shared" si="6"/>
        <v>4120</v>
      </c>
      <c r="N8" s="47">
        <f t="shared" si="6"/>
        <v>4120</v>
      </c>
      <c r="O8" s="47">
        <f t="shared" si="6"/>
        <v>4120</v>
      </c>
      <c r="P8" s="47">
        <f t="shared" si="6"/>
        <v>4120</v>
      </c>
      <c r="Q8" s="47">
        <f t="shared" si="6"/>
        <v>4120</v>
      </c>
    </row>
    <row r="9" spans="2:17" x14ac:dyDescent="0.25">
      <c r="B9" t="s">
        <v>129</v>
      </c>
      <c r="C9" s="43">
        <v>75</v>
      </c>
      <c r="D9">
        <f>25*4</f>
        <v>100</v>
      </c>
      <c r="E9" s="47"/>
      <c r="F9" s="47">
        <f t="shared" si="3"/>
        <v>7500</v>
      </c>
      <c r="G9" s="47">
        <f t="shared" si="1"/>
        <v>7500</v>
      </c>
      <c r="H9" s="47">
        <f t="shared" si="4"/>
        <v>7500</v>
      </c>
      <c r="I9" s="47">
        <f t="shared" si="5"/>
        <v>7725</v>
      </c>
      <c r="J9" s="47">
        <f t="shared" si="6"/>
        <v>7725</v>
      </c>
      <c r="K9" s="47">
        <f t="shared" si="6"/>
        <v>7725</v>
      </c>
      <c r="L9" s="47">
        <f t="shared" si="6"/>
        <v>7725</v>
      </c>
      <c r="M9" s="47">
        <f t="shared" si="6"/>
        <v>7725</v>
      </c>
      <c r="N9" s="47">
        <f t="shared" si="6"/>
        <v>7725</v>
      </c>
      <c r="O9" s="47">
        <f t="shared" si="6"/>
        <v>7725</v>
      </c>
      <c r="P9" s="47">
        <f t="shared" si="6"/>
        <v>7725</v>
      </c>
      <c r="Q9" s="47">
        <f t="shared" si="6"/>
        <v>7725</v>
      </c>
    </row>
    <row r="10" spans="2:17" x14ac:dyDescent="0.25">
      <c r="C10" s="43"/>
      <c r="E10" s="47"/>
      <c r="F10" s="47"/>
    </row>
    <row r="11" spans="2:17" x14ac:dyDescent="0.25">
      <c r="B11" s="50" t="s">
        <v>18</v>
      </c>
      <c r="C11" s="43"/>
      <c r="D11" s="110" t="s">
        <v>19</v>
      </c>
      <c r="E11" s="100" t="s">
        <v>20</v>
      </c>
      <c r="F11" s="47"/>
    </row>
    <row r="12" spans="2:17" x14ac:dyDescent="0.25">
      <c r="B12" t="s">
        <v>130</v>
      </c>
      <c r="C12" s="43">
        <v>15</v>
      </c>
      <c r="D12">
        <v>160</v>
      </c>
      <c r="E12" s="101">
        <v>2</v>
      </c>
      <c r="F12" s="47"/>
      <c r="H12" s="47"/>
      <c r="I12" s="47"/>
      <c r="J12" s="47"/>
      <c r="K12" s="47"/>
      <c r="L12" s="47">
        <f>E12*D12*C12</f>
        <v>4800</v>
      </c>
      <c r="M12" s="47">
        <f>L12</f>
        <v>4800</v>
      </c>
      <c r="N12" s="47">
        <f>M12</f>
        <v>4800</v>
      </c>
      <c r="O12" s="94"/>
      <c r="P12" s="94"/>
      <c r="Q12" s="94"/>
    </row>
    <row r="13" spans="2:17" x14ac:dyDescent="0.25">
      <c r="B13" t="s">
        <v>131</v>
      </c>
      <c r="C13" s="43">
        <v>15</v>
      </c>
      <c r="D13">
        <v>40</v>
      </c>
      <c r="E13" s="101">
        <v>1</v>
      </c>
      <c r="F13" s="47">
        <f>E13*D13*C13</f>
        <v>600</v>
      </c>
      <c r="G13" s="47">
        <f>F13</f>
        <v>600</v>
      </c>
      <c r="H13" s="47">
        <f>G13</f>
        <v>600</v>
      </c>
      <c r="I13" s="47">
        <f>18*D13</f>
        <v>720</v>
      </c>
      <c r="J13" s="47">
        <f t="shared" ref="I13:Q13" si="7">I13</f>
        <v>720</v>
      </c>
      <c r="K13" s="47">
        <f>18*160</f>
        <v>2880</v>
      </c>
      <c r="L13" s="47">
        <f t="shared" si="7"/>
        <v>2880</v>
      </c>
      <c r="M13" s="47">
        <f t="shared" si="7"/>
        <v>2880</v>
      </c>
      <c r="N13" s="47">
        <f t="shared" si="7"/>
        <v>2880</v>
      </c>
      <c r="O13" s="47">
        <f>18*40</f>
        <v>720</v>
      </c>
      <c r="P13" s="47">
        <f t="shared" si="7"/>
        <v>720</v>
      </c>
      <c r="Q13" s="47">
        <f t="shared" si="7"/>
        <v>720</v>
      </c>
    </row>
    <row r="14" spans="2:17" x14ac:dyDescent="0.25">
      <c r="B14" t="s">
        <v>132</v>
      </c>
      <c r="C14" s="43">
        <v>24</v>
      </c>
      <c r="D14">
        <v>160</v>
      </c>
      <c r="E14" s="101">
        <v>1</v>
      </c>
      <c r="F14" s="47"/>
      <c r="H14" s="47"/>
      <c r="I14" s="47"/>
      <c r="J14" s="47"/>
      <c r="K14" s="47"/>
      <c r="L14" s="47">
        <f>E14*D14*C14</f>
        <v>3840</v>
      </c>
      <c r="M14" s="47">
        <f>L14</f>
        <v>3840</v>
      </c>
      <c r="N14" s="47">
        <f>M14</f>
        <v>3840</v>
      </c>
    </row>
    <row r="15" spans="2:17" x14ac:dyDescent="0.25">
      <c r="B15" t="s">
        <v>133</v>
      </c>
      <c r="C15" s="43">
        <v>24</v>
      </c>
      <c r="D15">
        <v>160</v>
      </c>
      <c r="E15" s="101">
        <v>1</v>
      </c>
      <c r="F15" s="47"/>
      <c r="H15" s="47"/>
      <c r="I15" s="47"/>
      <c r="J15" s="47"/>
      <c r="K15" s="47"/>
      <c r="L15" s="47">
        <f t="shared" ref="L15" si="8">E15*D15*C15</f>
        <v>3840</v>
      </c>
      <c r="M15" s="47">
        <f t="shared" ref="M15:N15" si="9">L15</f>
        <v>3840</v>
      </c>
      <c r="N15" s="47">
        <f t="shared" si="9"/>
        <v>3840</v>
      </c>
    </row>
    <row r="16" spans="2:17" x14ac:dyDescent="0.25">
      <c r="C16" s="43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 x14ac:dyDescent="0.25"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 x14ac:dyDescent="0.25">
      <c r="B18" s="50" t="s">
        <v>22</v>
      </c>
      <c r="D18" s="49" t="s">
        <v>23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 x14ac:dyDescent="0.25">
      <c r="B19" t="s">
        <v>134</v>
      </c>
      <c r="D19" s="47">
        <f t="shared" ref="D19:D41" si="10">F19*12</f>
        <v>190000</v>
      </c>
      <c r="E19" s="47"/>
      <c r="F19" s="47">
        <v>15833.333333333334</v>
      </c>
      <c r="G19" s="47">
        <f t="shared" ref="G19:G42" si="11">F19</f>
        <v>15833.333333333334</v>
      </c>
      <c r="H19" s="47">
        <f t="shared" ref="H19:H42" si="12">G19</f>
        <v>15833.333333333334</v>
      </c>
      <c r="I19" s="47">
        <f>H19*1.02</f>
        <v>16150</v>
      </c>
      <c r="J19" s="47">
        <f t="shared" ref="J19:Q19" si="13">I19</f>
        <v>16150</v>
      </c>
      <c r="K19" s="47">
        <f t="shared" si="13"/>
        <v>16150</v>
      </c>
      <c r="L19" s="47">
        <f t="shared" si="13"/>
        <v>16150</v>
      </c>
      <c r="M19" s="47">
        <f t="shared" si="13"/>
        <v>16150</v>
      </c>
      <c r="N19" s="47">
        <f t="shared" si="13"/>
        <v>16150</v>
      </c>
      <c r="O19" s="47">
        <f t="shared" si="13"/>
        <v>16150</v>
      </c>
      <c r="P19" s="47">
        <f t="shared" si="13"/>
        <v>16150</v>
      </c>
      <c r="Q19" s="47">
        <f t="shared" si="13"/>
        <v>16150</v>
      </c>
    </row>
    <row r="20" spans="2:17" x14ac:dyDescent="0.25">
      <c r="B20" t="s">
        <v>135</v>
      </c>
      <c r="D20" s="47">
        <v>73000</v>
      </c>
      <c r="E20" s="47"/>
      <c r="F20" s="47"/>
      <c r="G20" s="47"/>
      <c r="H20" s="47">
        <f>D20/12</f>
        <v>6083.333333333333</v>
      </c>
      <c r="I20" s="47">
        <f t="shared" ref="I20:Q20" si="14">H20</f>
        <v>6083.333333333333</v>
      </c>
      <c r="J20" s="47">
        <f t="shared" si="14"/>
        <v>6083.333333333333</v>
      </c>
      <c r="K20" s="47">
        <f t="shared" si="14"/>
        <v>6083.333333333333</v>
      </c>
      <c r="L20" s="47">
        <f t="shared" si="14"/>
        <v>6083.333333333333</v>
      </c>
      <c r="M20" s="47">
        <f t="shared" si="14"/>
        <v>6083.333333333333</v>
      </c>
      <c r="N20" s="47">
        <f t="shared" si="14"/>
        <v>6083.333333333333</v>
      </c>
      <c r="O20" s="47">
        <f t="shared" si="14"/>
        <v>6083.333333333333</v>
      </c>
      <c r="P20" s="47">
        <f t="shared" si="14"/>
        <v>6083.333333333333</v>
      </c>
      <c r="Q20" s="47">
        <f t="shared" si="14"/>
        <v>6083.333333333333</v>
      </c>
    </row>
    <row r="21" spans="2:17" x14ac:dyDescent="0.25">
      <c r="B21" t="s">
        <v>136</v>
      </c>
      <c r="D21" s="47">
        <v>65000</v>
      </c>
      <c r="E21" s="47"/>
      <c r="F21" s="47">
        <v>5407.5</v>
      </c>
      <c r="G21" s="47">
        <f t="shared" si="11"/>
        <v>5407.5</v>
      </c>
      <c r="H21" s="47">
        <f t="shared" si="12"/>
        <v>5407.5</v>
      </c>
      <c r="I21" s="47">
        <f>H21*1.05</f>
        <v>5677.875</v>
      </c>
      <c r="J21" s="47">
        <f t="shared" ref="J21:Q21" si="15">I21</f>
        <v>5677.875</v>
      </c>
      <c r="K21" s="47">
        <f t="shared" si="15"/>
        <v>5677.875</v>
      </c>
      <c r="L21" s="47">
        <f t="shared" si="15"/>
        <v>5677.875</v>
      </c>
      <c r="M21" s="47">
        <f t="shared" si="15"/>
        <v>5677.875</v>
      </c>
      <c r="N21" s="47">
        <f t="shared" si="15"/>
        <v>5677.875</v>
      </c>
      <c r="O21" s="47">
        <f t="shared" si="15"/>
        <v>5677.875</v>
      </c>
      <c r="P21" s="47">
        <f t="shared" si="15"/>
        <v>5677.875</v>
      </c>
      <c r="Q21" s="47">
        <f t="shared" si="15"/>
        <v>5677.875</v>
      </c>
    </row>
    <row r="22" spans="2:17" x14ac:dyDescent="0.25">
      <c r="B22" t="s">
        <v>137</v>
      </c>
      <c r="D22" s="47">
        <v>60000</v>
      </c>
      <c r="E22" s="47"/>
      <c r="F22" s="47"/>
      <c r="G22" s="47">
        <f>D22/12</f>
        <v>5000</v>
      </c>
      <c r="H22" s="47">
        <f t="shared" ref="H22:Q22" si="16">G22</f>
        <v>5000</v>
      </c>
      <c r="I22" s="47">
        <f t="shared" si="16"/>
        <v>5000</v>
      </c>
      <c r="J22" s="47">
        <f t="shared" si="16"/>
        <v>5000</v>
      </c>
      <c r="K22" s="47">
        <f t="shared" si="16"/>
        <v>5000</v>
      </c>
      <c r="L22" s="47">
        <f t="shared" si="16"/>
        <v>5000</v>
      </c>
      <c r="M22" s="47">
        <f t="shared" si="16"/>
        <v>5000</v>
      </c>
      <c r="N22" s="47">
        <f t="shared" si="16"/>
        <v>5000</v>
      </c>
      <c r="O22" s="47">
        <f t="shared" si="16"/>
        <v>5000</v>
      </c>
      <c r="P22" s="47">
        <f t="shared" si="16"/>
        <v>5000</v>
      </c>
      <c r="Q22" s="47">
        <f t="shared" si="16"/>
        <v>5000</v>
      </c>
    </row>
    <row r="23" spans="2:17" x14ac:dyDescent="0.25">
      <c r="B23" t="s">
        <v>138</v>
      </c>
      <c r="D23" s="47">
        <f t="shared" si="10"/>
        <v>150000</v>
      </c>
      <c r="E23" s="47"/>
      <c r="F23" s="47">
        <v>12500</v>
      </c>
      <c r="G23" s="47">
        <f t="shared" si="11"/>
        <v>12500</v>
      </c>
      <c r="H23" s="47">
        <f t="shared" si="12"/>
        <v>12500</v>
      </c>
      <c r="I23" s="47">
        <f>H23</f>
        <v>12500</v>
      </c>
      <c r="J23" s="47">
        <f t="shared" ref="J23:Q23" si="17">I23</f>
        <v>12500</v>
      </c>
      <c r="K23" s="47">
        <f t="shared" si="17"/>
        <v>12500</v>
      </c>
      <c r="L23" s="47">
        <f t="shared" si="17"/>
        <v>12500</v>
      </c>
      <c r="M23" s="47">
        <f t="shared" si="17"/>
        <v>12500</v>
      </c>
      <c r="N23" s="47">
        <f t="shared" si="17"/>
        <v>12500</v>
      </c>
      <c r="O23" s="47">
        <f t="shared" si="17"/>
        <v>12500</v>
      </c>
      <c r="P23" s="47">
        <f t="shared" si="17"/>
        <v>12500</v>
      </c>
      <c r="Q23" s="47">
        <f t="shared" si="17"/>
        <v>12500</v>
      </c>
    </row>
    <row r="24" spans="2:17" x14ac:dyDescent="0.25">
      <c r="B24" t="s">
        <v>139</v>
      </c>
      <c r="D24" s="47">
        <f t="shared" si="10"/>
        <v>175000</v>
      </c>
      <c r="E24" s="47"/>
      <c r="F24" s="47">
        <v>14583.333333333334</v>
      </c>
      <c r="G24" s="47">
        <f t="shared" si="11"/>
        <v>14583.333333333334</v>
      </c>
      <c r="H24" s="47">
        <f t="shared" si="12"/>
        <v>14583.333333333334</v>
      </c>
      <c r="I24" s="47">
        <f t="shared" ref="I24:I42" si="18">H24*1.03</f>
        <v>15020.833333333334</v>
      </c>
      <c r="J24" s="47">
        <f t="shared" ref="J24:Q24" si="19">I24</f>
        <v>15020.833333333334</v>
      </c>
      <c r="K24" s="47">
        <f t="shared" si="19"/>
        <v>15020.833333333334</v>
      </c>
      <c r="L24" s="47">
        <f t="shared" si="19"/>
        <v>15020.833333333334</v>
      </c>
      <c r="M24" s="47">
        <f t="shared" si="19"/>
        <v>15020.833333333334</v>
      </c>
      <c r="N24" s="47">
        <f t="shared" si="19"/>
        <v>15020.833333333334</v>
      </c>
      <c r="O24" s="47">
        <f t="shared" si="19"/>
        <v>15020.833333333334</v>
      </c>
      <c r="P24" s="47">
        <f t="shared" si="19"/>
        <v>15020.833333333334</v>
      </c>
      <c r="Q24" s="47">
        <f t="shared" si="19"/>
        <v>15020.833333333334</v>
      </c>
    </row>
    <row r="25" spans="2:17" x14ac:dyDescent="0.25">
      <c r="B25" t="s">
        <v>140</v>
      </c>
      <c r="D25" s="47">
        <v>70000</v>
      </c>
      <c r="E25" s="47"/>
      <c r="F25" s="47">
        <v>6069</v>
      </c>
      <c r="G25" s="47">
        <f t="shared" si="11"/>
        <v>6069</v>
      </c>
      <c r="H25" s="47">
        <f t="shared" si="12"/>
        <v>6069</v>
      </c>
      <c r="I25" s="47">
        <f t="shared" si="18"/>
        <v>6251.07</v>
      </c>
      <c r="J25" s="47">
        <f t="shared" ref="J25:Q25" si="20">I25</f>
        <v>6251.07</v>
      </c>
      <c r="K25" s="47">
        <f t="shared" si="20"/>
        <v>6251.07</v>
      </c>
      <c r="L25" s="47">
        <f t="shared" si="20"/>
        <v>6251.07</v>
      </c>
      <c r="M25" s="47">
        <f t="shared" si="20"/>
        <v>6251.07</v>
      </c>
      <c r="N25" s="47">
        <f t="shared" si="20"/>
        <v>6251.07</v>
      </c>
      <c r="O25" s="47">
        <f t="shared" si="20"/>
        <v>6251.07</v>
      </c>
      <c r="P25" s="47">
        <f t="shared" si="20"/>
        <v>6251.07</v>
      </c>
      <c r="Q25" s="47">
        <f t="shared" si="20"/>
        <v>6251.07</v>
      </c>
    </row>
    <row r="26" spans="2:17" x14ac:dyDescent="0.25">
      <c r="B26" t="s">
        <v>141</v>
      </c>
      <c r="D26" s="47">
        <v>55000</v>
      </c>
      <c r="E26" s="47"/>
      <c r="F26" s="47">
        <v>4887.5</v>
      </c>
      <c r="G26" s="47">
        <f t="shared" si="11"/>
        <v>4887.5</v>
      </c>
      <c r="H26" s="47">
        <f t="shared" si="12"/>
        <v>4887.5</v>
      </c>
      <c r="I26" s="47">
        <f t="shared" si="18"/>
        <v>5034.125</v>
      </c>
      <c r="J26" s="47">
        <f t="shared" ref="J26:Q26" si="21">I26</f>
        <v>5034.125</v>
      </c>
      <c r="K26" s="47">
        <f t="shared" si="21"/>
        <v>5034.125</v>
      </c>
      <c r="L26" s="47">
        <f t="shared" si="21"/>
        <v>5034.125</v>
      </c>
      <c r="M26" s="47">
        <f t="shared" si="21"/>
        <v>5034.125</v>
      </c>
      <c r="N26" s="47">
        <f t="shared" si="21"/>
        <v>5034.125</v>
      </c>
      <c r="O26" s="47">
        <f t="shared" si="21"/>
        <v>5034.125</v>
      </c>
      <c r="P26" s="47">
        <f t="shared" si="21"/>
        <v>5034.125</v>
      </c>
      <c r="Q26" s="47">
        <f t="shared" si="21"/>
        <v>5034.125</v>
      </c>
    </row>
    <row r="27" spans="2:17" x14ac:dyDescent="0.25">
      <c r="B27" t="s">
        <v>142</v>
      </c>
      <c r="D27" s="47">
        <f t="shared" si="10"/>
        <v>60000</v>
      </c>
      <c r="E27" s="47"/>
      <c r="F27" s="47">
        <v>5000</v>
      </c>
      <c r="G27" s="47">
        <f t="shared" si="11"/>
        <v>5000</v>
      </c>
      <c r="H27" s="47">
        <f t="shared" si="12"/>
        <v>5000</v>
      </c>
      <c r="I27" s="47">
        <f t="shared" si="18"/>
        <v>5150</v>
      </c>
      <c r="J27" s="47">
        <f t="shared" ref="J27:Q27" si="22">I27</f>
        <v>5150</v>
      </c>
      <c r="K27" s="47">
        <f t="shared" si="22"/>
        <v>5150</v>
      </c>
      <c r="L27" s="47">
        <f t="shared" si="22"/>
        <v>5150</v>
      </c>
      <c r="M27" s="47">
        <f t="shared" si="22"/>
        <v>5150</v>
      </c>
      <c r="N27" s="47">
        <f t="shared" si="22"/>
        <v>5150</v>
      </c>
      <c r="O27" s="47">
        <f t="shared" si="22"/>
        <v>5150</v>
      </c>
      <c r="P27" s="47">
        <f t="shared" si="22"/>
        <v>5150</v>
      </c>
      <c r="Q27" s="47">
        <f t="shared" si="22"/>
        <v>5150</v>
      </c>
    </row>
    <row r="28" spans="2:17" x14ac:dyDescent="0.25">
      <c r="B28" t="s">
        <v>143</v>
      </c>
      <c r="D28" s="47">
        <v>70000</v>
      </c>
      <c r="E28" s="47"/>
      <c r="F28" s="47">
        <v>5765.4166666666661</v>
      </c>
      <c r="G28" s="47">
        <f t="shared" si="11"/>
        <v>5765.4166666666661</v>
      </c>
      <c r="H28" s="47">
        <f t="shared" si="12"/>
        <v>5765.4166666666661</v>
      </c>
      <c r="I28" s="47">
        <f>H28*1.18</f>
        <v>6803.1916666666657</v>
      </c>
      <c r="J28" s="47">
        <f t="shared" ref="J28:Q28" si="23">I28</f>
        <v>6803.1916666666657</v>
      </c>
      <c r="K28" s="47">
        <f t="shared" si="23"/>
        <v>6803.1916666666657</v>
      </c>
      <c r="L28" s="47">
        <f t="shared" si="23"/>
        <v>6803.1916666666657</v>
      </c>
      <c r="M28" s="47">
        <f t="shared" si="23"/>
        <v>6803.1916666666657</v>
      </c>
      <c r="N28" s="47">
        <f t="shared" si="23"/>
        <v>6803.1916666666657</v>
      </c>
      <c r="O28" s="47">
        <f t="shared" si="23"/>
        <v>6803.1916666666657</v>
      </c>
      <c r="P28" s="47">
        <f t="shared" si="23"/>
        <v>6803.1916666666657</v>
      </c>
      <c r="Q28" s="47">
        <f t="shared" si="23"/>
        <v>6803.1916666666657</v>
      </c>
    </row>
    <row r="29" spans="2:17" x14ac:dyDescent="0.25">
      <c r="B29" t="s">
        <v>144</v>
      </c>
      <c r="D29" s="47">
        <v>62000</v>
      </c>
      <c r="E29" s="47"/>
      <c r="F29" s="47">
        <v>5150</v>
      </c>
      <c r="G29" s="47">
        <f t="shared" si="11"/>
        <v>5150</v>
      </c>
      <c r="H29" s="47">
        <f t="shared" si="12"/>
        <v>5150</v>
      </c>
      <c r="I29" s="47">
        <f t="shared" si="18"/>
        <v>5304.5</v>
      </c>
      <c r="J29" s="47">
        <f t="shared" ref="J29:Q29" si="24">I29</f>
        <v>5304.5</v>
      </c>
      <c r="K29" s="47">
        <f t="shared" si="24"/>
        <v>5304.5</v>
      </c>
      <c r="L29" s="47">
        <f t="shared" si="24"/>
        <v>5304.5</v>
      </c>
      <c r="M29" s="47">
        <f t="shared" si="24"/>
        <v>5304.5</v>
      </c>
      <c r="N29" s="47">
        <f t="shared" si="24"/>
        <v>5304.5</v>
      </c>
      <c r="O29" s="47">
        <f t="shared" si="24"/>
        <v>5304.5</v>
      </c>
      <c r="P29" s="47">
        <f t="shared" si="24"/>
        <v>5304.5</v>
      </c>
      <c r="Q29" s="47">
        <f t="shared" si="24"/>
        <v>5304.5</v>
      </c>
    </row>
    <row r="30" spans="2:17" x14ac:dyDescent="0.25">
      <c r="B30" t="s">
        <v>145</v>
      </c>
      <c r="D30" s="47">
        <v>72000</v>
      </c>
      <c r="E30" s="47"/>
      <c r="F30" s="47">
        <v>6008.333333333333</v>
      </c>
      <c r="G30" s="47">
        <f t="shared" si="11"/>
        <v>6008.333333333333</v>
      </c>
      <c r="H30" s="47">
        <f t="shared" si="12"/>
        <v>6008.333333333333</v>
      </c>
      <c r="I30" s="47">
        <f t="shared" si="18"/>
        <v>6188.583333333333</v>
      </c>
      <c r="J30" s="47">
        <f t="shared" ref="J30:Q30" si="25">I30</f>
        <v>6188.583333333333</v>
      </c>
      <c r="K30" s="47">
        <f t="shared" si="25"/>
        <v>6188.583333333333</v>
      </c>
      <c r="L30" s="47">
        <f t="shared" si="25"/>
        <v>6188.583333333333</v>
      </c>
      <c r="M30" s="47">
        <f t="shared" si="25"/>
        <v>6188.583333333333</v>
      </c>
      <c r="N30" s="47">
        <f t="shared" si="25"/>
        <v>6188.583333333333</v>
      </c>
      <c r="O30" s="47">
        <f t="shared" si="25"/>
        <v>6188.583333333333</v>
      </c>
      <c r="P30" s="47">
        <f t="shared" si="25"/>
        <v>6188.583333333333</v>
      </c>
      <c r="Q30" s="47">
        <f t="shared" si="25"/>
        <v>6188.583333333333</v>
      </c>
    </row>
    <row r="31" spans="2:17" x14ac:dyDescent="0.25">
      <c r="B31" t="s">
        <v>146</v>
      </c>
      <c r="D31" s="47">
        <f t="shared" si="10"/>
        <v>150000</v>
      </c>
      <c r="E31" s="47"/>
      <c r="F31" s="47">
        <v>12500</v>
      </c>
      <c r="G31" s="47">
        <f t="shared" si="11"/>
        <v>12500</v>
      </c>
      <c r="H31" s="47">
        <f t="shared" si="12"/>
        <v>12500</v>
      </c>
      <c r="I31" s="47">
        <f t="shared" si="18"/>
        <v>12875</v>
      </c>
      <c r="J31" s="47">
        <f t="shared" ref="J31:Q31" si="26">I31</f>
        <v>12875</v>
      </c>
      <c r="K31" s="47">
        <f t="shared" si="26"/>
        <v>12875</v>
      </c>
      <c r="L31" s="47">
        <f t="shared" si="26"/>
        <v>12875</v>
      </c>
      <c r="M31" s="47">
        <f t="shared" si="26"/>
        <v>12875</v>
      </c>
      <c r="N31" s="47">
        <f t="shared" si="26"/>
        <v>12875</v>
      </c>
      <c r="O31" s="47">
        <f t="shared" si="26"/>
        <v>12875</v>
      </c>
      <c r="P31" s="47">
        <f t="shared" si="26"/>
        <v>12875</v>
      </c>
      <c r="Q31" s="47">
        <f t="shared" si="26"/>
        <v>12875</v>
      </c>
    </row>
    <row r="32" spans="2:17" x14ac:dyDescent="0.25">
      <c r="B32" t="s">
        <v>147</v>
      </c>
      <c r="D32" s="47">
        <v>120000</v>
      </c>
      <c r="E32" s="47"/>
      <c r="F32" s="47"/>
      <c r="G32" s="47"/>
      <c r="H32" s="47">
        <f>D32/12</f>
        <v>10000</v>
      </c>
      <c r="I32" s="47">
        <f>H32*1.03</f>
        <v>10300</v>
      </c>
      <c r="J32" s="47">
        <f t="shared" ref="J32:Q32" si="27">I32</f>
        <v>10300</v>
      </c>
      <c r="K32" s="47">
        <f t="shared" si="27"/>
        <v>10300</v>
      </c>
      <c r="L32" s="47">
        <f t="shared" si="27"/>
        <v>10300</v>
      </c>
      <c r="M32" s="47">
        <f t="shared" si="27"/>
        <v>10300</v>
      </c>
      <c r="N32" s="47">
        <f t="shared" si="27"/>
        <v>10300</v>
      </c>
      <c r="O32" s="47">
        <f t="shared" si="27"/>
        <v>10300</v>
      </c>
      <c r="P32" s="47">
        <f t="shared" si="27"/>
        <v>10300</v>
      </c>
      <c r="Q32" s="47">
        <f t="shared" si="27"/>
        <v>10300</v>
      </c>
    </row>
    <row r="33" spans="2:18" x14ac:dyDescent="0.25">
      <c r="B33" t="s">
        <v>148</v>
      </c>
      <c r="D33" s="47">
        <v>80000</v>
      </c>
      <c r="E33" s="47"/>
      <c r="F33" s="47">
        <v>6626.333333333333</v>
      </c>
      <c r="G33" s="47">
        <f t="shared" si="11"/>
        <v>6626.333333333333</v>
      </c>
      <c r="H33" s="47">
        <f t="shared" si="12"/>
        <v>6626.333333333333</v>
      </c>
      <c r="I33" s="47">
        <f>H33*1.18</f>
        <v>7819.0733333333328</v>
      </c>
      <c r="J33" s="47">
        <f t="shared" ref="J33:Q33" si="28">I33</f>
        <v>7819.0733333333328</v>
      </c>
      <c r="K33" s="47">
        <f t="shared" si="28"/>
        <v>7819.0733333333328</v>
      </c>
      <c r="L33" s="47">
        <f t="shared" si="28"/>
        <v>7819.0733333333328</v>
      </c>
      <c r="M33" s="47">
        <f t="shared" si="28"/>
        <v>7819.0733333333328</v>
      </c>
      <c r="N33" s="47">
        <f t="shared" si="28"/>
        <v>7819.0733333333328</v>
      </c>
      <c r="O33" s="47">
        <f t="shared" si="28"/>
        <v>7819.0733333333328</v>
      </c>
      <c r="P33" s="47">
        <f t="shared" si="28"/>
        <v>7819.0733333333328</v>
      </c>
      <c r="Q33" s="47">
        <f t="shared" si="28"/>
        <v>7819.0733333333328</v>
      </c>
    </row>
    <row r="34" spans="2:18" x14ac:dyDescent="0.25">
      <c r="B34" t="s">
        <v>149</v>
      </c>
      <c r="D34" s="47">
        <v>90000</v>
      </c>
      <c r="E34" s="47"/>
      <c r="F34" s="47">
        <v>7800</v>
      </c>
      <c r="G34" s="47">
        <f t="shared" si="11"/>
        <v>7800</v>
      </c>
      <c r="H34" s="47">
        <f>G34+(20000/12)</f>
        <v>9466.6666666666661</v>
      </c>
      <c r="I34" s="47">
        <f>H34</f>
        <v>9466.6666666666661</v>
      </c>
      <c r="J34" s="47">
        <f t="shared" ref="J34:Q34" si="29">I34</f>
        <v>9466.6666666666661</v>
      </c>
      <c r="K34" s="47">
        <f t="shared" si="29"/>
        <v>9466.6666666666661</v>
      </c>
      <c r="L34" s="47">
        <f t="shared" si="29"/>
        <v>9466.6666666666661</v>
      </c>
      <c r="M34" s="47">
        <f t="shared" si="29"/>
        <v>9466.6666666666661</v>
      </c>
      <c r="N34" s="47">
        <f t="shared" si="29"/>
        <v>9466.6666666666661</v>
      </c>
      <c r="O34" s="47">
        <f t="shared" si="29"/>
        <v>9466.6666666666661</v>
      </c>
      <c r="P34" s="47">
        <f t="shared" si="29"/>
        <v>9466.6666666666661</v>
      </c>
      <c r="Q34" s="47">
        <f t="shared" si="29"/>
        <v>9466.6666666666661</v>
      </c>
    </row>
    <row r="35" spans="2:18" x14ac:dyDescent="0.25">
      <c r="B35" t="s">
        <v>150</v>
      </c>
      <c r="D35" s="47">
        <f t="shared" si="10"/>
        <v>78000</v>
      </c>
      <c r="E35" s="47"/>
      <c r="F35" s="47">
        <v>6500</v>
      </c>
      <c r="G35" s="47">
        <f t="shared" si="11"/>
        <v>6500</v>
      </c>
      <c r="H35" s="47">
        <f t="shared" si="12"/>
        <v>6500</v>
      </c>
      <c r="I35" s="47">
        <f t="shared" si="18"/>
        <v>6695</v>
      </c>
      <c r="J35" s="47">
        <f t="shared" ref="J35:Q35" si="30">I35</f>
        <v>6695</v>
      </c>
      <c r="K35" s="47">
        <f t="shared" si="30"/>
        <v>6695</v>
      </c>
      <c r="L35" s="47">
        <f t="shared" si="30"/>
        <v>6695</v>
      </c>
      <c r="M35" s="47">
        <f t="shared" si="30"/>
        <v>6695</v>
      </c>
      <c r="N35" s="47">
        <f t="shared" si="30"/>
        <v>6695</v>
      </c>
      <c r="O35" s="47">
        <f t="shared" si="30"/>
        <v>6695</v>
      </c>
      <c r="P35" s="47">
        <f t="shared" si="30"/>
        <v>6695</v>
      </c>
      <c r="Q35" s="47">
        <f t="shared" si="30"/>
        <v>6695</v>
      </c>
    </row>
    <row r="36" spans="2:18" x14ac:dyDescent="0.25">
      <c r="B36" t="s">
        <v>151</v>
      </c>
      <c r="D36" s="47">
        <f t="shared" si="10"/>
        <v>85000</v>
      </c>
      <c r="E36" s="47"/>
      <c r="F36" s="47">
        <v>7083.333333333333</v>
      </c>
      <c r="G36" s="47">
        <f t="shared" si="11"/>
        <v>7083.333333333333</v>
      </c>
      <c r="H36" s="47">
        <f t="shared" si="12"/>
        <v>7083.333333333333</v>
      </c>
      <c r="I36" s="47">
        <f t="shared" si="18"/>
        <v>7295.833333333333</v>
      </c>
      <c r="J36" s="47">
        <f t="shared" ref="J36:Q36" si="31">I36</f>
        <v>7295.833333333333</v>
      </c>
      <c r="K36" s="47">
        <f t="shared" si="31"/>
        <v>7295.833333333333</v>
      </c>
      <c r="L36" s="47">
        <f t="shared" si="31"/>
        <v>7295.833333333333</v>
      </c>
      <c r="M36" s="47">
        <f t="shared" si="31"/>
        <v>7295.833333333333</v>
      </c>
      <c r="N36" s="47">
        <f t="shared" si="31"/>
        <v>7295.833333333333</v>
      </c>
      <c r="O36" s="47">
        <f t="shared" si="31"/>
        <v>7295.833333333333</v>
      </c>
      <c r="P36" s="47">
        <f t="shared" si="31"/>
        <v>7295.833333333333</v>
      </c>
      <c r="Q36" s="47">
        <f t="shared" si="31"/>
        <v>7295.833333333333</v>
      </c>
    </row>
    <row r="37" spans="2:18" x14ac:dyDescent="0.25">
      <c r="B37" t="s">
        <v>152</v>
      </c>
      <c r="D37" s="47">
        <v>80000</v>
      </c>
      <c r="E37" s="47"/>
      <c r="F37" s="47">
        <v>6695</v>
      </c>
      <c r="G37" s="47">
        <f t="shared" si="11"/>
        <v>6695</v>
      </c>
      <c r="H37" s="47">
        <f t="shared" si="12"/>
        <v>6695</v>
      </c>
      <c r="I37" s="47">
        <f t="shared" si="18"/>
        <v>6895.85</v>
      </c>
      <c r="J37" s="47">
        <f t="shared" ref="J37:Q38" si="32">I37</f>
        <v>6895.85</v>
      </c>
      <c r="K37" s="47">
        <f t="shared" si="32"/>
        <v>6895.85</v>
      </c>
      <c r="L37" s="47">
        <f t="shared" si="32"/>
        <v>6895.85</v>
      </c>
      <c r="M37" s="47">
        <f t="shared" si="32"/>
        <v>6895.85</v>
      </c>
      <c r="N37" s="47">
        <f t="shared" si="32"/>
        <v>6895.85</v>
      </c>
      <c r="O37" s="47">
        <f t="shared" si="32"/>
        <v>6895.85</v>
      </c>
      <c r="P37" s="47">
        <f t="shared" si="32"/>
        <v>6895.85</v>
      </c>
      <c r="Q37" s="47">
        <f t="shared" si="32"/>
        <v>6895.85</v>
      </c>
    </row>
    <row r="38" spans="2:18" x14ac:dyDescent="0.25">
      <c r="B38" t="s">
        <v>153</v>
      </c>
      <c r="D38" s="47">
        <v>115000</v>
      </c>
      <c r="E38" s="47"/>
      <c r="F38" s="47">
        <v>9541.6666666666661</v>
      </c>
      <c r="G38" s="47">
        <f t="shared" ref="G38" si="33">F38</f>
        <v>9541.6666666666661</v>
      </c>
      <c r="H38" s="47">
        <f t="shared" ref="H38" si="34">G38</f>
        <v>9541.6666666666661</v>
      </c>
      <c r="I38" s="47">
        <f t="shared" ref="I38" si="35">H38*1.03</f>
        <v>9827.9166666666661</v>
      </c>
      <c r="J38" s="47">
        <f t="shared" si="32"/>
        <v>9827.9166666666661</v>
      </c>
      <c r="K38" s="47">
        <f t="shared" si="32"/>
        <v>9827.9166666666661</v>
      </c>
      <c r="L38" s="47">
        <f t="shared" si="32"/>
        <v>9827.9166666666661</v>
      </c>
      <c r="M38" s="47">
        <f t="shared" si="32"/>
        <v>9827.9166666666661</v>
      </c>
      <c r="N38" s="47">
        <f t="shared" si="32"/>
        <v>9827.9166666666661</v>
      </c>
      <c r="O38" s="47">
        <f t="shared" si="32"/>
        <v>9827.9166666666661</v>
      </c>
      <c r="P38" s="47">
        <f t="shared" si="32"/>
        <v>9827.9166666666661</v>
      </c>
      <c r="Q38" s="47">
        <f t="shared" si="32"/>
        <v>9827.9166666666661</v>
      </c>
    </row>
    <row r="39" spans="2:18" x14ac:dyDescent="0.25">
      <c r="B39" t="s">
        <v>154</v>
      </c>
      <c r="D39" s="47">
        <f t="shared" si="10"/>
        <v>120000</v>
      </c>
      <c r="E39" s="47"/>
      <c r="F39" s="47">
        <v>10000</v>
      </c>
      <c r="G39" s="47">
        <f t="shared" si="11"/>
        <v>10000</v>
      </c>
      <c r="H39" s="47">
        <f t="shared" si="12"/>
        <v>10000</v>
      </c>
      <c r="I39" s="47">
        <f>H39</f>
        <v>10000</v>
      </c>
      <c r="J39" s="47">
        <f t="shared" ref="J39:Q39" si="36">I39</f>
        <v>10000</v>
      </c>
      <c r="K39" s="47">
        <f t="shared" si="36"/>
        <v>10000</v>
      </c>
      <c r="L39" s="47">
        <f t="shared" si="36"/>
        <v>10000</v>
      </c>
      <c r="M39" s="47">
        <f t="shared" si="36"/>
        <v>10000</v>
      </c>
      <c r="N39" s="47">
        <f t="shared" si="36"/>
        <v>10000</v>
      </c>
      <c r="O39" s="47">
        <f t="shared" si="36"/>
        <v>10000</v>
      </c>
      <c r="P39" s="47">
        <f t="shared" si="36"/>
        <v>10000</v>
      </c>
      <c r="Q39" s="47">
        <f t="shared" si="36"/>
        <v>10000</v>
      </c>
    </row>
    <row r="40" spans="2:18" x14ac:dyDescent="0.25">
      <c r="B40" t="s">
        <v>155</v>
      </c>
      <c r="D40" s="47">
        <v>75000</v>
      </c>
      <c r="E40" s="47"/>
      <c r="F40" s="47">
        <v>6196.5</v>
      </c>
      <c r="G40" s="47">
        <f t="shared" si="11"/>
        <v>6196.5</v>
      </c>
      <c r="H40" s="47">
        <f t="shared" si="12"/>
        <v>6196.5</v>
      </c>
      <c r="I40" s="47">
        <f t="shared" si="18"/>
        <v>6382.3950000000004</v>
      </c>
      <c r="J40" s="47">
        <f t="shared" ref="J40:Q40" si="37">I40</f>
        <v>6382.3950000000004</v>
      </c>
      <c r="K40" s="47">
        <f t="shared" si="37"/>
        <v>6382.3950000000004</v>
      </c>
      <c r="L40" s="47">
        <f t="shared" si="37"/>
        <v>6382.3950000000004</v>
      </c>
      <c r="M40" s="47">
        <f t="shared" si="37"/>
        <v>6382.3950000000004</v>
      </c>
      <c r="N40" s="47">
        <f t="shared" si="37"/>
        <v>6382.3950000000004</v>
      </c>
      <c r="O40" s="47">
        <f t="shared" si="37"/>
        <v>6382.3950000000004</v>
      </c>
      <c r="P40" s="47">
        <f t="shared" si="37"/>
        <v>6382.3950000000004</v>
      </c>
      <c r="Q40" s="47">
        <f t="shared" si="37"/>
        <v>6382.3950000000004</v>
      </c>
    </row>
    <row r="41" spans="2:18" x14ac:dyDescent="0.25">
      <c r="B41" t="s">
        <v>156</v>
      </c>
      <c r="D41" s="47">
        <f t="shared" si="10"/>
        <v>78000</v>
      </c>
      <c r="E41" s="47"/>
      <c r="F41" s="47">
        <v>6500</v>
      </c>
      <c r="G41" s="47">
        <f t="shared" si="11"/>
        <v>6500</v>
      </c>
      <c r="H41" s="47">
        <f t="shared" si="12"/>
        <v>6500</v>
      </c>
      <c r="I41" s="47">
        <f t="shared" si="18"/>
        <v>6695</v>
      </c>
      <c r="J41" s="47">
        <f t="shared" ref="J41:Q41" si="38">I41</f>
        <v>6695</v>
      </c>
      <c r="K41" s="47">
        <f t="shared" si="38"/>
        <v>6695</v>
      </c>
      <c r="L41" s="47">
        <f t="shared" si="38"/>
        <v>6695</v>
      </c>
      <c r="M41" s="47">
        <f t="shared" si="38"/>
        <v>6695</v>
      </c>
      <c r="N41" s="47">
        <f t="shared" si="38"/>
        <v>6695</v>
      </c>
      <c r="O41" s="47">
        <f t="shared" si="38"/>
        <v>6695</v>
      </c>
      <c r="P41" s="47">
        <f t="shared" si="38"/>
        <v>6695</v>
      </c>
      <c r="Q41" s="47">
        <f t="shared" si="38"/>
        <v>6695</v>
      </c>
    </row>
    <row r="42" spans="2:18" x14ac:dyDescent="0.25">
      <c r="B42" t="s">
        <v>157</v>
      </c>
      <c r="D42" s="47">
        <v>45000</v>
      </c>
      <c r="E42" s="47"/>
      <c r="F42" s="47">
        <v>3862.5</v>
      </c>
      <c r="G42" s="47">
        <f t="shared" si="11"/>
        <v>3862.5</v>
      </c>
      <c r="H42" s="47">
        <f t="shared" si="12"/>
        <v>3862.5</v>
      </c>
      <c r="I42" s="47">
        <f t="shared" si="18"/>
        <v>3978.375</v>
      </c>
      <c r="J42" s="47">
        <f t="shared" ref="J42:Q42" si="39">I42</f>
        <v>3978.375</v>
      </c>
      <c r="K42" s="47">
        <f t="shared" si="39"/>
        <v>3978.375</v>
      </c>
      <c r="L42" s="47">
        <f t="shared" si="39"/>
        <v>3978.375</v>
      </c>
      <c r="M42" s="47">
        <f t="shared" si="39"/>
        <v>3978.375</v>
      </c>
      <c r="N42" s="47">
        <f t="shared" si="39"/>
        <v>3978.375</v>
      </c>
      <c r="O42" s="47">
        <f t="shared" si="39"/>
        <v>3978.375</v>
      </c>
      <c r="P42" s="47">
        <f t="shared" si="39"/>
        <v>3978.375</v>
      </c>
      <c r="Q42" s="47">
        <f t="shared" si="39"/>
        <v>3978.375</v>
      </c>
    </row>
    <row r="43" spans="2:18" x14ac:dyDescent="0.25">
      <c r="D43" s="47"/>
      <c r="E43" s="47"/>
    </row>
    <row r="44" spans="2:18" x14ac:dyDescent="0.25">
      <c r="D44" s="47"/>
    </row>
    <row r="45" spans="2:18" x14ac:dyDescent="0.25">
      <c r="B45" s="46" t="s">
        <v>24</v>
      </c>
      <c r="C45" s="46" t="s">
        <v>25</v>
      </c>
      <c r="D45" s="47"/>
      <c r="E45" s="109" t="s">
        <v>26</v>
      </c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83"/>
    </row>
    <row r="46" spans="2:18" x14ac:dyDescent="0.25">
      <c r="B46" s="103" t="s">
        <v>115</v>
      </c>
      <c r="C46" t="s">
        <v>193</v>
      </c>
      <c r="D46" s="47">
        <v>75000</v>
      </c>
      <c r="E46" s="107" t="s">
        <v>0</v>
      </c>
      <c r="F46" s="47"/>
      <c r="G46" s="47"/>
      <c r="H46" s="47"/>
      <c r="I46" s="94">
        <f>D46/12</f>
        <v>6250</v>
      </c>
      <c r="J46" s="94">
        <f t="shared" ref="J46:Q48" si="40">I46</f>
        <v>6250</v>
      </c>
      <c r="K46" s="47">
        <f t="shared" si="40"/>
        <v>6250</v>
      </c>
      <c r="L46" s="47">
        <f t="shared" si="40"/>
        <v>6250</v>
      </c>
      <c r="M46" s="47">
        <f t="shared" si="40"/>
        <v>6250</v>
      </c>
      <c r="N46" s="47">
        <f t="shared" si="40"/>
        <v>6250</v>
      </c>
      <c r="O46" s="47">
        <f t="shared" si="40"/>
        <v>6250</v>
      </c>
      <c r="P46" s="47">
        <f t="shared" si="40"/>
        <v>6250</v>
      </c>
      <c r="Q46" s="47">
        <f t="shared" si="40"/>
        <v>6250</v>
      </c>
      <c r="R46" s="83"/>
    </row>
    <row r="47" spans="2:18" x14ac:dyDescent="0.25">
      <c r="B47" s="103" t="s">
        <v>116</v>
      </c>
      <c r="C47" t="s">
        <v>193</v>
      </c>
      <c r="D47" s="47">
        <v>75000</v>
      </c>
      <c r="E47" s="107" t="s">
        <v>4</v>
      </c>
      <c r="F47" s="47"/>
      <c r="G47" s="47"/>
      <c r="H47" s="47"/>
      <c r="I47" s="94"/>
      <c r="J47" s="94"/>
      <c r="K47" s="47">
        <f>D47/12</f>
        <v>6250</v>
      </c>
      <c r="L47" s="47">
        <f t="shared" si="40"/>
        <v>6250</v>
      </c>
      <c r="M47" s="47">
        <f t="shared" si="40"/>
        <v>6250</v>
      </c>
      <c r="N47" s="47">
        <f t="shared" si="40"/>
        <v>6250</v>
      </c>
      <c r="O47" s="47">
        <f t="shared" si="40"/>
        <v>6250</v>
      </c>
      <c r="P47" s="47">
        <f t="shared" si="40"/>
        <v>6250</v>
      </c>
      <c r="Q47" s="47">
        <f t="shared" si="40"/>
        <v>6250</v>
      </c>
      <c r="R47" s="83"/>
    </row>
    <row r="48" spans="2:18" x14ac:dyDescent="0.25">
      <c r="B48" s="103" t="s">
        <v>117</v>
      </c>
      <c r="C48" t="s">
        <v>193</v>
      </c>
      <c r="D48" s="47">
        <v>85000</v>
      </c>
      <c r="E48" s="107" t="s">
        <v>6</v>
      </c>
      <c r="F48" s="47"/>
      <c r="G48" s="47"/>
      <c r="H48" s="47"/>
      <c r="I48" s="94"/>
      <c r="J48" s="94"/>
      <c r="K48" s="47"/>
      <c r="L48" s="47"/>
      <c r="M48" s="47">
        <f>D48/12</f>
        <v>7083.333333333333</v>
      </c>
      <c r="N48" s="47">
        <f t="shared" si="40"/>
        <v>7083.333333333333</v>
      </c>
      <c r="O48" s="47">
        <f t="shared" si="40"/>
        <v>7083.333333333333</v>
      </c>
      <c r="P48" s="47">
        <f t="shared" si="40"/>
        <v>7083.333333333333</v>
      </c>
      <c r="Q48" s="47">
        <f t="shared" si="40"/>
        <v>7083.333333333333</v>
      </c>
      <c r="R48" s="83"/>
    </row>
    <row r="49" spans="2:18" x14ac:dyDescent="0.25">
      <c r="B49" s="103" t="s">
        <v>118</v>
      </c>
      <c r="C49" s="77" t="s">
        <v>194</v>
      </c>
      <c r="D49" s="94">
        <v>70000</v>
      </c>
      <c r="E49" s="108" t="s">
        <v>5</v>
      </c>
      <c r="F49" s="47"/>
      <c r="G49" s="47"/>
      <c r="H49" s="47"/>
      <c r="I49" s="94"/>
      <c r="J49" s="94"/>
      <c r="K49" s="47"/>
      <c r="L49" s="47">
        <f>D49/12</f>
        <v>5833.333333333333</v>
      </c>
      <c r="M49" s="47">
        <f>D49/12</f>
        <v>5833.333333333333</v>
      </c>
      <c r="N49" s="47">
        <f t="shared" ref="N49:Q49" si="41">M49</f>
        <v>5833.333333333333</v>
      </c>
      <c r="O49" s="47">
        <f t="shared" si="41"/>
        <v>5833.333333333333</v>
      </c>
      <c r="P49" s="47">
        <f t="shared" si="41"/>
        <v>5833.333333333333</v>
      </c>
      <c r="Q49" s="47">
        <f t="shared" si="41"/>
        <v>5833.333333333333</v>
      </c>
      <c r="R49" s="83"/>
    </row>
    <row r="50" spans="2:18" x14ac:dyDescent="0.25">
      <c r="B50" s="103" t="s">
        <v>119</v>
      </c>
      <c r="C50" s="77" t="s">
        <v>194</v>
      </c>
      <c r="D50" s="94">
        <v>70000</v>
      </c>
      <c r="E50" s="108" t="s">
        <v>10</v>
      </c>
      <c r="F50" s="47"/>
      <c r="G50" s="47"/>
      <c r="H50" s="47"/>
      <c r="I50" s="94"/>
      <c r="J50" s="94"/>
      <c r="K50" s="47"/>
      <c r="L50" s="47"/>
      <c r="M50" s="47"/>
      <c r="N50" s="47"/>
      <c r="O50" s="47"/>
      <c r="P50" s="47"/>
      <c r="Q50" s="47">
        <f>D50/12</f>
        <v>5833.333333333333</v>
      </c>
    </row>
    <row r="51" spans="2:18" x14ac:dyDescent="0.25">
      <c r="B51" s="103" t="s">
        <v>120</v>
      </c>
      <c r="C51" s="77" t="s">
        <v>28</v>
      </c>
      <c r="D51" s="94">
        <v>70000</v>
      </c>
      <c r="E51" s="108" t="s">
        <v>4</v>
      </c>
      <c r="F51" s="47"/>
      <c r="G51" s="47"/>
      <c r="H51" s="47"/>
      <c r="I51" s="94"/>
      <c r="J51" s="94"/>
      <c r="K51" s="47">
        <f>D51/12</f>
        <v>5833.333333333333</v>
      </c>
      <c r="L51" s="47">
        <f t="shared" ref="L51:Q52" si="42">K51</f>
        <v>5833.333333333333</v>
      </c>
      <c r="M51" s="47">
        <f t="shared" si="42"/>
        <v>5833.333333333333</v>
      </c>
      <c r="N51" s="47">
        <f t="shared" si="42"/>
        <v>5833.333333333333</v>
      </c>
      <c r="O51" s="47">
        <f t="shared" si="42"/>
        <v>5833.333333333333</v>
      </c>
      <c r="P51" s="47">
        <f t="shared" si="42"/>
        <v>5833.333333333333</v>
      </c>
      <c r="Q51" s="47">
        <f t="shared" si="42"/>
        <v>5833.333333333333</v>
      </c>
    </row>
    <row r="52" spans="2:18" x14ac:dyDescent="0.25">
      <c r="B52" s="103" t="s">
        <v>121</v>
      </c>
      <c r="C52" s="77" t="s">
        <v>28</v>
      </c>
      <c r="D52" s="94">
        <v>120000</v>
      </c>
      <c r="E52" s="108" t="s">
        <v>8</v>
      </c>
      <c r="F52" s="47"/>
      <c r="G52" s="47"/>
      <c r="H52" s="47"/>
      <c r="I52" s="94"/>
      <c r="J52" s="94"/>
      <c r="K52" s="47"/>
      <c r="L52" s="47"/>
      <c r="M52" s="47"/>
      <c r="N52" s="47"/>
      <c r="O52" s="47">
        <f>D52/12</f>
        <v>10000</v>
      </c>
      <c r="P52" s="47">
        <f t="shared" si="42"/>
        <v>10000</v>
      </c>
      <c r="Q52" s="47">
        <f t="shared" si="42"/>
        <v>10000</v>
      </c>
    </row>
    <row r="53" spans="2:18" x14ac:dyDescent="0.25">
      <c r="B53" s="103" t="s">
        <v>122</v>
      </c>
      <c r="C53" s="77" t="s">
        <v>21</v>
      </c>
      <c r="D53" s="94">
        <v>120000</v>
      </c>
      <c r="E53" s="108" t="s">
        <v>1</v>
      </c>
      <c r="F53" s="47"/>
      <c r="G53" s="47"/>
      <c r="H53" s="47"/>
      <c r="I53" s="94">
        <f>D53/12</f>
        <v>10000</v>
      </c>
      <c r="J53" s="94">
        <f t="shared" ref="J53:Q53" si="43">I53</f>
        <v>10000</v>
      </c>
      <c r="K53" s="47">
        <f t="shared" si="43"/>
        <v>10000</v>
      </c>
      <c r="L53" s="47">
        <f t="shared" si="43"/>
        <v>10000</v>
      </c>
      <c r="M53" s="47">
        <f t="shared" si="43"/>
        <v>10000</v>
      </c>
      <c r="N53" s="47">
        <f t="shared" si="43"/>
        <v>10000</v>
      </c>
      <c r="O53" s="47">
        <f t="shared" si="43"/>
        <v>10000</v>
      </c>
      <c r="P53" s="47">
        <f t="shared" si="43"/>
        <v>10000</v>
      </c>
      <c r="Q53" s="47">
        <f t="shared" si="43"/>
        <v>10000</v>
      </c>
    </row>
    <row r="54" spans="2:18" x14ac:dyDescent="0.25">
      <c r="B54" s="103" t="s">
        <v>123</v>
      </c>
      <c r="C54" s="77" t="s">
        <v>21</v>
      </c>
      <c r="D54" s="94">
        <v>80000</v>
      </c>
      <c r="E54" s="108" t="s">
        <v>0</v>
      </c>
      <c r="F54" s="47"/>
      <c r="G54" s="47"/>
      <c r="H54" s="47"/>
      <c r="I54" s="94"/>
      <c r="J54" s="94">
        <f>D54/12</f>
        <v>6666.666666666667</v>
      </c>
      <c r="K54" s="47">
        <f t="shared" ref="K54:Q54" si="44">J54</f>
        <v>6666.666666666667</v>
      </c>
      <c r="L54" s="47">
        <f t="shared" si="44"/>
        <v>6666.666666666667</v>
      </c>
      <c r="M54" s="47">
        <f t="shared" si="44"/>
        <v>6666.666666666667</v>
      </c>
      <c r="N54" s="47">
        <f t="shared" si="44"/>
        <v>6666.666666666667</v>
      </c>
      <c r="O54" s="47">
        <f t="shared" si="44"/>
        <v>6666.666666666667</v>
      </c>
      <c r="P54" s="47">
        <f t="shared" si="44"/>
        <v>6666.666666666667</v>
      </c>
      <c r="Q54" s="47">
        <f t="shared" si="44"/>
        <v>6666.666666666667</v>
      </c>
    </row>
    <row r="55" spans="2:18" x14ac:dyDescent="0.25">
      <c r="B55" s="103" t="s">
        <v>124</v>
      </c>
      <c r="C55" s="77" t="s">
        <v>27</v>
      </c>
      <c r="D55" s="94">
        <v>80000</v>
      </c>
      <c r="E55" s="108" t="s">
        <v>9</v>
      </c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>
        <f>D55/12</f>
        <v>6666.666666666667</v>
      </c>
      <c r="Q55" s="47">
        <f t="shared" ref="Q55" si="45">P55</f>
        <v>6666.666666666667</v>
      </c>
    </row>
    <row r="56" spans="2:18" x14ac:dyDescent="0.25">
      <c r="B56" s="103" t="s">
        <v>125</v>
      </c>
      <c r="C56" s="77" t="s">
        <v>195</v>
      </c>
      <c r="D56" s="94">
        <v>80000</v>
      </c>
      <c r="E56" s="107" t="s">
        <v>7</v>
      </c>
      <c r="F56" s="47"/>
      <c r="G56" s="47"/>
      <c r="H56" s="47"/>
      <c r="I56" s="47"/>
      <c r="J56" s="47"/>
      <c r="K56" s="47"/>
      <c r="L56" s="47"/>
      <c r="M56" s="47"/>
      <c r="N56" s="47">
        <f>D56/12</f>
        <v>6666.666666666667</v>
      </c>
      <c r="O56" s="47">
        <f>N56</f>
        <v>6666.666666666667</v>
      </c>
      <c r="P56" s="47">
        <f t="shared" ref="P56:Q56" si="46">O56</f>
        <v>6666.666666666667</v>
      </c>
      <c r="Q56" s="47">
        <f t="shared" si="46"/>
        <v>6666.666666666667</v>
      </c>
    </row>
    <row r="57" spans="2:18" x14ac:dyDescent="0.25">
      <c r="D57" s="47"/>
      <c r="E57" s="10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2:18" x14ac:dyDescent="0.25">
      <c r="B58" t="s">
        <v>29</v>
      </c>
      <c r="D58" s="47"/>
      <c r="E58" s="47"/>
      <c r="F58" s="47">
        <v>240</v>
      </c>
      <c r="G58" s="47">
        <f>F58</f>
        <v>240</v>
      </c>
      <c r="H58" s="47">
        <f t="shared" ref="H58:Q58" si="47">G58</f>
        <v>240</v>
      </c>
      <c r="I58" s="47">
        <f t="shared" si="47"/>
        <v>240</v>
      </c>
      <c r="J58" s="47">
        <f t="shared" si="47"/>
        <v>240</v>
      </c>
      <c r="K58" s="47">
        <f t="shared" si="47"/>
        <v>240</v>
      </c>
      <c r="L58" s="47">
        <f t="shared" si="47"/>
        <v>240</v>
      </c>
      <c r="M58" s="47">
        <f t="shared" si="47"/>
        <v>240</v>
      </c>
      <c r="N58" s="47">
        <f t="shared" si="47"/>
        <v>240</v>
      </c>
      <c r="O58" s="47">
        <f t="shared" si="47"/>
        <v>240</v>
      </c>
      <c r="P58" s="47">
        <f t="shared" si="47"/>
        <v>240</v>
      </c>
      <c r="Q58" s="47">
        <f t="shared" si="47"/>
        <v>240</v>
      </c>
    </row>
    <row r="59" spans="2:18" x14ac:dyDescent="0.25">
      <c r="D59" s="47"/>
    </row>
    <row r="60" spans="2:18" x14ac:dyDescent="0.25">
      <c r="B60" t="s">
        <v>30</v>
      </c>
      <c r="D60" s="47"/>
      <c r="E60" s="47"/>
      <c r="F60" s="47">
        <f t="shared" ref="F60:Q60" si="48">SUM(F7:F59)</f>
        <v>178849.75</v>
      </c>
      <c r="G60" s="47">
        <f t="shared" si="48"/>
        <v>183849.75</v>
      </c>
      <c r="H60" s="47">
        <f t="shared" si="48"/>
        <v>201599.75</v>
      </c>
      <c r="I60" s="47">
        <f t="shared" si="48"/>
        <v>224509.62166666664</v>
      </c>
      <c r="J60" s="47">
        <f t="shared" si="48"/>
        <v>231176.2883333333</v>
      </c>
      <c r="K60" s="47">
        <f t="shared" si="48"/>
        <v>245419.62166666664</v>
      </c>
      <c r="L60" s="47">
        <f t="shared" si="48"/>
        <v>263732.95500000002</v>
      </c>
      <c r="M60" s="47">
        <f t="shared" si="48"/>
        <v>270816.28833333339</v>
      </c>
      <c r="N60" s="47">
        <f t="shared" si="48"/>
        <v>277482.95500000007</v>
      </c>
      <c r="O60" s="47">
        <f t="shared" si="48"/>
        <v>272842.95500000002</v>
      </c>
      <c r="P60" s="47">
        <f t="shared" si="48"/>
        <v>279509.6216666667</v>
      </c>
      <c r="Q60" s="47">
        <f t="shared" si="48"/>
        <v>285342.95500000007</v>
      </c>
    </row>
    <row r="61" spans="2:18" s="45" customFormat="1" x14ac:dyDescent="0.25">
      <c r="B61" s="45" t="s">
        <v>31</v>
      </c>
      <c r="D61" s="48"/>
      <c r="E61" s="48"/>
      <c r="F61" s="48">
        <f>F60*1.082</f>
        <v>193515.42950000003</v>
      </c>
      <c r="G61" s="48">
        <f t="shared" ref="G61:Q61" si="49">G60*1.082</f>
        <v>198925.42950000003</v>
      </c>
      <c r="H61" s="48">
        <f t="shared" si="49"/>
        <v>218130.92950000003</v>
      </c>
      <c r="I61" s="48">
        <f t="shared" si="49"/>
        <v>242919.41064333334</v>
      </c>
      <c r="J61" s="48">
        <f t="shared" si="49"/>
        <v>250132.74397666665</v>
      </c>
      <c r="K61" s="48">
        <f t="shared" si="49"/>
        <v>265544.03064333333</v>
      </c>
      <c r="L61" s="48">
        <f t="shared" si="49"/>
        <v>285359.05731000006</v>
      </c>
      <c r="M61" s="48">
        <f t="shared" si="49"/>
        <v>293023.22397666675</v>
      </c>
      <c r="N61" s="48">
        <f t="shared" si="49"/>
        <v>300236.55731000012</v>
      </c>
      <c r="O61" s="48">
        <f t="shared" si="49"/>
        <v>295216.07731000002</v>
      </c>
      <c r="P61" s="48">
        <f t="shared" si="49"/>
        <v>302429.41064333339</v>
      </c>
      <c r="Q61" s="48">
        <f t="shared" si="49"/>
        <v>308741.07731000008</v>
      </c>
    </row>
    <row r="62" spans="2:18" x14ac:dyDescent="0.25">
      <c r="D62" s="47"/>
    </row>
    <row r="63" spans="2:18" x14ac:dyDescent="0.25">
      <c r="D63" s="47"/>
      <c r="G63" s="47"/>
      <c r="H63" s="47"/>
      <c r="I63" s="47"/>
    </row>
    <row r="64" spans="2:18" x14ac:dyDescent="0.25">
      <c r="N64" s="47"/>
    </row>
    <row r="65" spans="2:2" x14ac:dyDescent="0.25">
      <c r="B65" s="247" t="s">
        <v>204</v>
      </c>
    </row>
  </sheetData>
  <phoneticPr fontId="28" type="noConversion"/>
  <dataValidations disablePrompts="1" count="4">
    <dataValidation type="list" allowBlank="1" showInputMessage="1" showErrorMessage="1" sqref="E53:E54" xr:uid="{88985EC7-4AB2-4629-BE4E-7EACA8EEA245}">
      <formula1>$E$42:$E$48</formula1>
    </dataValidation>
    <dataValidation type="list" allowBlank="1" showInputMessage="1" showErrorMessage="1" sqref="E55" xr:uid="{A90B4A07-6273-4A7A-B8CB-1A67F020B2F3}">
      <formula1>$E$42:$E$49</formula1>
    </dataValidation>
    <dataValidation type="list" allowBlank="1" showInputMessage="1" showErrorMessage="1" sqref="E51:E52" xr:uid="{7E59ED6B-45EC-4D98-B53B-A120B20E46EB}">
      <formula1>$E$49:$E$59</formula1>
    </dataValidation>
    <dataValidation type="list" allowBlank="1" showInputMessage="1" showErrorMessage="1" sqref="E49:E50" xr:uid="{57C01251-8D84-4623-8084-D145AC0EA4AB}">
      <formula1>$E$57:$E$63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5F297-D5B0-40B1-8B16-52E5AC633C4A}">
  <sheetPr>
    <pageSetUpPr fitToPage="1"/>
  </sheetPr>
  <dimension ref="B2:O26"/>
  <sheetViews>
    <sheetView zoomScale="120" zoomScaleNormal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1" sqref="F21"/>
    </sheetView>
  </sheetViews>
  <sheetFormatPr defaultRowHeight="15" x14ac:dyDescent="0.25"/>
  <cols>
    <col min="2" max="2" width="54.28515625" bestFit="1" customWidth="1"/>
    <col min="3" max="4" width="12.140625" bestFit="1" customWidth="1"/>
    <col min="5" max="5" width="13.28515625" customWidth="1"/>
    <col min="6" max="6" width="14.7109375" customWidth="1"/>
    <col min="7" max="7" width="12.5703125" customWidth="1"/>
    <col min="8" max="8" width="12.5703125" bestFit="1" customWidth="1"/>
    <col min="9" max="9" width="11.7109375" bestFit="1" customWidth="1"/>
    <col min="10" max="10" width="11.85546875" bestFit="1" customWidth="1"/>
    <col min="11" max="11" width="14.140625" bestFit="1" customWidth="1"/>
    <col min="12" max="13" width="12.28515625" bestFit="1" customWidth="1"/>
    <col min="14" max="14" width="13.28515625" bestFit="1" customWidth="1"/>
    <col min="15" max="15" width="10.28515625" bestFit="1" customWidth="1"/>
  </cols>
  <sheetData>
    <row r="2" spans="2:15" ht="18.75" x14ac:dyDescent="0.3">
      <c r="B2" s="73" t="s">
        <v>202</v>
      </c>
    </row>
    <row r="3" spans="2:15" x14ac:dyDescent="0.25">
      <c r="B3" s="102"/>
    </row>
    <row r="4" spans="2:15" x14ac:dyDescent="0.25">
      <c r="B4" s="42"/>
      <c r="C4" s="275" t="s">
        <v>203</v>
      </c>
      <c r="D4" s="275"/>
      <c r="E4" s="274" t="s">
        <v>197</v>
      </c>
      <c r="F4" s="274"/>
      <c r="G4" s="274"/>
      <c r="H4" s="274"/>
      <c r="I4" s="274"/>
      <c r="J4" s="274"/>
      <c r="K4" s="274"/>
      <c r="L4" s="274"/>
      <c r="M4" s="274"/>
      <c r="N4" s="274"/>
    </row>
    <row r="5" spans="2:15" x14ac:dyDescent="0.25">
      <c r="C5" s="260" t="s">
        <v>0</v>
      </c>
      <c r="D5" s="260" t="s">
        <v>1</v>
      </c>
      <c r="E5" s="115" t="s">
        <v>2</v>
      </c>
      <c r="F5" s="115" t="s">
        <v>3</v>
      </c>
      <c r="G5" s="115" t="s">
        <v>4</v>
      </c>
      <c r="H5" s="115" t="s">
        <v>5</v>
      </c>
      <c r="I5" s="115" t="s">
        <v>6</v>
      </c>
      <c r="J5" s="115" t="s">
        <v>7</v>
      </c>
      <c r="K5" s="115" t="s">
        <v>8</v>
      </c>
      <c r="L5" s="115" t="s">
        <v>9</v>
      </c>
      <c r="M5" s="115" t="s">
        <v>10</v>
      </c>
      <c r="N5" s="115" t="s">
        <v>11</v>
      </c>
    </row>
    <row r="6" spans="2:15" x14ac:dyDescent="0.25">
      <c r="B6" s="45" t="s">
        <v>183</v>
      </c>
      <c r="C6" s="261">
        <f>'Cashflow - Detail'!H164</f>
        <v>665928.43999999994</v>
      </c>
      <c r="D6" s="261">
        <f>'Cashflow - Detail'!N164</f>
        <v>441475.27</v>
      </c>
      <c r="E6" s="116">
        <f>E11-SUM($C$9:E9)</f>
        <v>441475.27</v>
      </c>
      <c r="F6" s="116">
        <f>F11-SUM($C$9:F9)</f>
        <v>222822.73935666669</v>
      </c>
      <c r="G6" s="116">
        <f>G11-SUM($C$9:G9)</f>
        <v>133884.23807000008</v>
      </c>
      <c r="H6" s="116">
        <f>H11-SUM($C$9:H9)</f>
        <v>-144933.18590666662</v>
      </c>
      <c r="I6" s="116">
        <f>I11-SUM($C$9:I9)</f>
        <v>-4388.969883333426</v>
      </c>
      <c r="J6" s="116">
        <f>J11-SUM($C$9:J9)</f>
        <v>-79832.9205266668</v>
      </c>
      <c r="K6" s="116">
        <f>K11-SUM($C$9:K9)</f>
        <v>-241114.20450333355</v>
      </c>
      <c r="L6" s="116">
        <f>L11-SUM($C$9:L9)</f>
        <v>-541409.50848000031</v>
      </c>
      <c r="M6" s="116">
        <f>M11-SUM($C$9:M9)</f>
        <v>-1044939.6457900003</v>
      </c>
      <c r="N6" s="116">
        <f>N11-SUM($C$9:N9)</f>
        <v>-1583314.4497666671</v>
      </c>
    </row>
    <row r="7" spans="2:15" x14ac:dyDescent="0.25">
      <c r="B7" s="42" t="s">
        <v>185</v>
      </c>
      <c r="C7" s="262"/>
      <c r="D7" s="262"/>
      <c r="E7" s="77"/>
      <c r="F7" s="77"/>
      <c r="G7" s="77"/>
      <c r="H7" s="77"/>
    </row>
    <row r="8" spans="2:15" x14ac:dyDescent="0.25">
      <c r="C8" s="262"/>
      <c r="D8" s="262"/>
      <c r="E8" s="77"/>
      <c r="F8" s="77"/>
      <c r="G8" s="77"/>
      <c r="H8" s="77"/>
      <c r="O8" s="71" t="s">
        <v>12</v>
      </c>
    </row>
    <row r="9" spans="2:15" x14ac:dyDescent="0.25">
      <c r="B9" s="42" t="s">
        <v>184</v>
      </c>
      <c r="C9" s="263">
        <f>'Cashflow - Detail'!H160</f>
        <v>0</v>
      </c>
      <c r="D9" s="263">
        <f>'Cashflow - Detail'!N160</f>
        <v>0</v>
      </c>
      <c r="E9" s="121">
        <f>'Cashflow - Detail'!T160</f>
        <v>0</v>
      </c>
      <c r="F9" s="121">
        <f>'Cashflow - Detail'!AA160</f>
        <v>0</v>
      </c>
      <c r="G9" s="121">
        <f>'Cashflow - Detail'!AG160</f>
        <v>130500</v>
      </c>
      <c r="H9" s="121">
        <f>'Cashflow - Detail'!AI160</f>
        <v>225000</v>
      </c>
      <c r="I9" s="121">
        <f>'Cashflow - Detail'!AJ160</f>
        <v>117000</v>
      </c>
      <c r="J9" s="121">
        <f>'Cashflow - Detail'!AK160</f>
        <v>319500</v>
      </c>
      <c r="K9" s="121">
        <f>'Cashflow - Detail'!AL160</f>
        <v>274500</v>
      </c>
      <c r="L9" s="121">
        <f>'Cashflow - Detail'!AM160</f>
        <v>0</v>
      </c>
      <c r="M9" s="121">
        <f>'Cashflow - Detail'!AN160</f>
        <v>373500</v>
      </c>
      <c r="N9" s="121">
        <f>'Cashflow - Detail'!AO160</f>
        <v>306000</v>
      </c>
      <c r="O9" s="122">
        <f>SUM(C9:N9)</f>
        <v>1746000</v>
      </c>
    </row>
    <row r="10" spans="2:15" x14ac:dyDescent="0.25">
      <c r="C10" s="261"/>
      <c r="D10" s="261"/>
      <c r="E10" s="116"/>
      <c r="F10" s="116"/>
      <c r="G10" s="116"/>
      <c r="H10" s="116"/>
    </row>
    <row r="11" spans="2:15" x14ac:dyDescent="0.25">
      <c r="B11" s="45" t="s">
        <v>13</v>
      </c>
      <c r="C11" s="264">
        <f>'Cashflow - Detail'!H164</f>
        <v>665928.43999999994</v>
      </c>
      <c r="D11" s="264">
        <f>'Cashflow - Detail'!N164</f>
        <v>441475.27</v>
      </c>
      <c r="E11" s="117">
        <f>'Cashflow - Detail'!T164</f>
        <v>441475.27</v>
      </c>
      <c r="F11" s="117">
        <f>'Cashflow - Detail'!AA164</f>
        <v>222822.73935666669</v>
      </c>
      <c r="G11" s="117">
        <f>'Cashflow - Detail'!AG164</f>
        <v>264384.23807000008</v>
      </c>
      <c r="H11" s="117">
        <f>'Cashflow - Detail'!AI164</f>
        <v>210566.81409333338</v>
      </c>
      <c r="I11" s="117">
        <f>'Cashflow - Detail'!AJ164</f>
        <v>468111.03011666657</v>
      </c>
      <c r="J11" s="117">
        <f>'Cashflow - Detail'!AK164</f>
        <v>712167.0794733332</v>
      </c>
      <c r="K11" s="117">
        <f>'Cashflow - Detail'!AL164</f>
        <v>825385.79549666645</v>
      </c>
      <c r="L11" s="117">
        <f>'Cashflow - Detail'!AM164</f>
        <v>525090.49151999969</v>
      </c>
      <c r="M11" s="117">
        <f>'Cashflow - Detail'!AN164</f>
        <v>395060.35420999967</v>
      </c>
      <c r="N11" s="117">
        <f>'Cashflow - Detail'!AO164</f>
        <v>162685.55023333291</v>
      </c>
    </row>
    <row r="12" spans="2:15" x14ac:dyDescent="0.25">
      <c r="B12" s="83"/>
      <c r="C12" s="265"/>
      <c r="D12" s="265"/>
      <c r="E12" s="94"/>
      <c r="F12" s="94"/>
      <c r="G12" s="94"/>
      <c r="H12" s="94"/>
    </row>
    <row r="13" spans="2:15" x14ac:dyDescent="0.25">
      <c r="B13" s="118" t="s">
        <v>205</v>
      </c>
      <c r="C13" s="119">
        <v>492270.55516666663</v>
      </c>
      <c r="D13" s="119">
        <v>923626.52366666659</v>
      </c>
      <c r="E13" s="119">
        <v>446766.22216666641</v>
      </c>
      <c r="F13" s="119">
        <v>201094.91867738962</v>
      </c>
      <c r="G13" s="119">
        <v>21990.442448607762</v>
      </c>
      <c r="H13" s="119">
        <v>400000</v>
      </c>
      <c r="I13" s="119">
        <v>700000</v>
      </c>
      <c r="J13" s="119">
        <v>950000</v>
      </c>
      <c r="K13" s="119">
        <v>900000</v>
      </c>
      <c r="L13" s="119">
        <v>700000</v>
      </c>
      <c r="M13" s="119">
        <v>650000</v>
      </c>
      <c r="N13" s="119">
        <v>350000</v>
      </c>
    </row>
    <row r="14" spans="2:15" s="42" customFormat="1" x14ac:dyDescent="0.25">
      <c r="B14" s="42" t="s">
        <v>186</v>
      </c>
      <c r="C14" s="266">
        <f t="shared" ref="C14:N14" si="0">C11-C13</f>
        <v>173657.88483333332</v>
      </c>
      <c r="D14" s="266">
        <f t="shared" si="0"/>
        <v>-482151.25366666657</v>
      </c>
      <c r="E14" s="171">
        <f t="shared" si="0"/>
        <v>-5290.9521666663932</v>
      </c>
      <c r="F14" s="171">
        <f t="shared" si="0"/>
        <v>21727.820679277065</v>
      </c>
      <c r="G14" s="171">
        <f t="shared" si="0"/>
        <v>242393.79562139232</v>
      </c>
      <c r="H14" s="171">
        <f t="shared" si="0"/>
        <v>-189433.18590666662</v>
      </c>
      <c r="I14" s="171">
        <f t="shared" si="0"/>
        <v>-231888.96988333343</v>
      </c>
      <c r="J14" s="171">
        <f t="shared" si="0"/>
        <v>-237832.9205266668</v>
      </c>
      <c r="K14" s="171">
        <f t="shared" si="0"/>
        <v>-74614.204503333545</v>
      </c>
      <c r="L14" s="171">
        <f t="shared" si="0"/>
        <v>-174909.50848000031</v>
      </c>
      <c r="M14" s="171">
        <f t="shared" si="0"/>
        <v>-254939.64579000033</v>
      </c>
      <c r="N14" s="171">
        <f t="shared" si="0"/>
        <v>-187314.44976666709</v>
      </c>
    </row>
    <row r="15" spans="2:15" x14ac:dyDescent="0.25">
      <c r="B15" s="42"/>
      <c r="C15" s="114"/>
      <c r="D15" s="47"/>
      <c r="E15" s="47"/>
      <c r="F15" s="47"/>
      <c r="G15" s="47"/>
      <c r="H15" s="47"/>
    </row>
    <row r="16" spans="2:15" x14ac:dyDescent="0.25">
      <c r="E16" s="47"/>
      <c r="F16" s="47"/>
      <c r="G16" s="47"/>
      <c r="H16" s="47"/>
      <c r="I16" s="47"/>
    </row>
    <row r="17" spans="2:14" x14ac:dyDescent="0.25">
      <c r="B17" s="46" t="s">
        <v>207</v>
      </c>
      <c r="C17" s="48"/>
      <c r="E17" s="225"/>
      <c r="G17" s="225"/>
      <c r="H17" s="225"/>
      <c r="I17" s="226"/>
      <c r="J17" s="226"/>
      <c r="K17" s="225"/>
      <c r="L17" s="225"/>
      <c r="M17" s="225"/>
      <c r="N17" s="225"/>
    </row>
    <row r="18" spans="2:14" x14ac:dyDescent="0.25">
      <c r="B18" s="103" t="s">
        <v>187</v>
      </c>
      <c r="E18" s="241"/>
      <c r="F18" s="47"/>
      <c r="G18" s="241"/>
      <c r="H18" s="21"/>
      <c r="I18" s="21"/>
      <c r="J18" s="21"/>
      <c r="K18" s="21"/>
      <c r="L18" s="21"/>
      <c r="M18" s="21"/>
      <c r="N18" s="21"/>
    </row>
    <row r="19" spans="2:14" x14ac:dyDescent="0.25">
      <c r="B19" t="s">
        <v>206</v>
      </c>
      <c r="E19" s="60"/>
      <c r="F19" s="47"/>
      <c r="G19" s="60"/>
      <c r="H19" s="231"/>
      <c r="I19" s="231"/>
      <c r="J19" s="60"/>
      <c r="K19" s="60"/>
      <c r="L19" s="60"/>
      <c r="M19" s="60"/>
      <c r="N19" s="60"/>
    </row>
    <row r="20" spans="2:14" x14ac:dyDescent="0.25">
      <c r="B20" s="103" t="s">
        <v>188</v>
      </c>
      <c r="E20" s="60"/>
      <c r="F20" s="47"/>
      <c r="G20" s="60"/>
      <c r="H20" s="231"/>
      <c r="I20" s="60"/>
      <c r="J20" s="231"/>
      <c r="K20" s="60"/>
      <c r="L20" s="60"/>
      <c r="M20" s="60"/>
      <c r="N20" s="60"/>
    </row>
    <row r="21" spans="2:14" x14ac:dyDescent="0.25">
      <c r="B21" s="103" t="s">
        <v>189</v>
      </c>
      <c r="E21" s="47"/>
      <c r="F21" s="47"/>
      <c r="G21" s="231"/>
      <c r="H21" s="60"/>
      <c r="I21" s="231"/>
      <c r="J21" s="60"/>
      <c r="K21" s="231"/>
      <c r="L21" s="231"/>
      <c r="M21" s="60"/>
      <c r="N21" s="231"/>
    </row>
    <row r="22" spans="2:14" x14ac:dyDescent="0.25">
      <c r="B22" s="46"/>
      <c r="E22" s="47"/>
      <c r="F22" s="47"/>
      <c r="G22" s="47"/>
      <c r="H22" s="47"/>
    </row>
    <row r="23" spans="2:14" x14ac:dyDescent="0.25">
      <c r="C23" s="47"/>
      <c r="D23" s="47"/>
      <c r="E23" s="47"/>
      <c r="F23" s="47"/>
      <c r="G23" s="47"/>
      <c r="H23" s="47"/>
    </row>
    <row r="24" spans="2:14" x14ac:dyDescent="0.25">
      <c r="B24" s="247" t="s">
        <v>204</v>
      </c>
      <c r="C24" s="47"/>
      <c r="D24" s="47"/>
      <c r="E24" s="47"/>
      <c r="F24" s="47"/>
      <c r="G24" s="47"/>
      <c r="H24" s="47"/>
    </row>
    <row r="25" spans="2:14" x14ac:dyDescent="0.25">
      <c r="E25" s="47"/>
      <c r="F25" s="47"/>
      <c r="G25" s="47"/>
      <c r="H25" s="47"/>
    </row>
    <row r="26" spans="2:14" x14ac:dyDescent="0.25">
      <c r="F26" s="47"/>
      <c r="G26" s="47"/>
      <c r="H26" s="47"/>
    </row>
  </sheetData>
  <mergeCells count="2">
    <mergeCell ref="E4:N4"/>
    <mergeCell ref="C4:D4"/>
  </mergeCells>
  <phoneticPr fontId="28" type="noConversion"/>
  <printOptions gridLines="1"/>
  <pageMargins left="0.2" right="0.2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2548103-9132-49d0-8b4f-752efc0d18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B866ECA3C6C42999B7328CB44FAEC" ma:contentTypeVersion="13" ma:contentTypeDescription="Create a new document." ma:contentTypeScope="" ma:versionID="acb113eb2ccf914cde877208934954c2">
  <xsd:schema xmlns:xsd="http://www.w3.org/2001/XMLSchema" xmlns:xs="http://www.w3.org/2001/XMLSchema" xmlns:p="http://schemas.microsoft.com/office/2006/metadata/properties" xmlns:ns2="32548103-9132-49d0-8b4f-752efc0d18d9" xmlns:ns3="6ce719e6-f710-4139-85a0-164f57669e9a" targetNamespace="http://schemas.microsoft.com/office/2006/metadata/properties" ma:root="true" ma:fieldsID="3057a376eecd5bc7a37a66230de890fb" ns2:_="" ns3:_="">
    <xsd:import namespace="32548103-9132-49d0-8b4f-752efc0d18d9"/>
    <xsd:import namespace="6ce719e6-f710-4139-85a0-164f57669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48103-9132-49d0-8b4f-752efc0d1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719e6-f710-4139-85a0-164f57669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26FD9-4B4C-46C8-857E-47AF2A647EA6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6ce719e6-f710-4139-85a0-164f57669e9a"/>
    <ds:schemaRef ds:uri="32548103-9132-49d0-8b4f-752efc0d18d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C81D5AB-ED61-4738-BA91-0C6EBC3D9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548103-9132-49d0-8b4f-752efc0d18d9"/>
    <ds:schemaRef ds:uri="6ce719e6-f710-4139-85a0-164f57669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2D6B62-6A5F-461D-B7B3-5E3704859F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Cashflow - Detail</vt:lpstr>
      <vt:lpstr>Payroll Detail</vt:lpstr>
      <vt:lpstr>Scenarios</vt:lpstr>
      <vt:lpstr>'Cashflow - Detail'!Print_Area</vt:lpstr>
      <vt:lpstr>Scenarios!Print_Area</vt:lpstr>
      <vt:lpstr>'Cashflow - Detail'!Print_Titles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2022-03-23T21:24:38Z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0x01010029BB866ECA3C6C42999B7328CB44FAEC</vt:lpwstr>
  </property>
  <property fmtid="{D5CDD505-2E9C-101B-9397-08002B2CF9AE}" pid="3" name="AuthorIds_UIVersion_49664">
    <vt:lpwstr>27</vt:lpwstr>
  </property>
</Properties>
</file>