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filterPrivacy="1" defaultThemeVersion="124226"/>
  <xr:revisionPtr revIDLastSave="0" documentId="13_ncr:1_{449BB050-0211-495B-B6AF-C128CDD7B2FC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ashflow - Detail" sheetId="1" r:id="rId1"/>
    <sheet name="Payroll Detail" sheetId="2" r:id="rId2"/>
    <sheet name="Scenarios" sheetId="3" r:id="rId3"/>
  </sheets>
  <definedNames>
    <definedName name="_xlnm.Print_Area" localSheetId="0">'Cashflow - Detail'!$A$3:$BJ$85</definedName>
    <definedName name="_xlnm.Print_Titles" localSheetId="0">'Cashflow - Detail'!$3:$9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7" i="1" l="1"/>
  <c r="F97" i="1"/>
  <c r="G97" i="1"/>
  <c r="H97" i="1"/>
  <c r="I97" i="1"/>
  <c r="J97" i="1"/>
  <c r="L97" i="1"/>
  <c r="M97" i="1"/>
  <c r="V42" i="1"/>
  <c r="V81" i="1" s="1"/>
  <c r="F13" i="3" l="1"/>
  <c r="E27" i="3"/>
  <c r="D27" i="3"/>
  <c r="C27" i="3"/>
  <c r="N27" i="3"/>
  <c r="M27" i="3"/>
  <c r="L27" i="3"/>
  <c r="K27" i="3"/>
  <c r="J27" i="3"/>
  <c r="I27" i="3"/>
  <c r="H27" i="3"/>
  <c r="G27" i="3"/>
  <c r="F27" i="3"/>
  <c r="G14" i="3"/>
  <c r="F14" i="3"/>
  <c r="E10" i="3"/>
  <c r="E15" i="3" s="1"/>
  <c r="E20" i="3" s="1"/>
  <c r="D10" i="3"/>
  <c r="D15" i="3" s="1"/>
  <c r="F9" i="3"/>
  <c r="L10" i="3"/>
  <c r="L15" i="3" s="1"/>
  <c r="L20" i="3" s="1"/>
  <c r="I10" i="3" l="1"/>
  <c r="I15" i="3" s="1"/>
  <c r="I20" i="3" s="1"/>
  <c r="M10" i="3"/>
  <c r="M15" i="3" s="1"/>
  <c r="M20" i="3" s="1"/>
  <c r="D20" i="3"/>
  <c r="J10" i="3"/>
  <c r="J15" i="3" s="1"/>
  <c r="J20" i="3" s="1"/>
  <c r="G10" i="3"/>
  <c r="G15" i="3" s="1"/>
  <c r="G20" i="3" s="1"/>
  <c r="K10" i="3"/>
  <c r="K15" i="3" s="1"/>
  <c r="K20" i="3" s="1"/>
  <c r="F10" i="3"/>
  <c r="F15" i="3" s="1"/>
  <c r="F20" i="3" s="1"/>
  <c r="N10" i="3"/>
  <c r="H10" i="3"/>
  <c r="H15" i="3" s="1"/>
  <c r="H20" i="3" s="1"/>
  <c r="N15" i="3" l="1"/>
  <c r="O10" i="3"/>
  <c r="O15" i="3" l="1"/>
  <c r="N20" i="3"/>
  <c r="O20" i="3" s="1"/>
  <c r="BP70" i="1" l="1"/>
  <c r="BR61" i="1"/>
  <c r="BS61" i="1" s="1"/>
  <c r="BT61" i="1" s="1"/>
  <c r="BO119" i="1"/>
  <c r="BU61" i="1" l="1"/>
  <c r="BK111" i="1"/>
  <c r="BH111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H97" i="1"/>
  <c r="BG97" i="1"/>
  <c r="BF97" i="1"/>
  <c r="BE97" i="1"/>
  <c r="BB97" i="1"/>
  <c r="BA97" i="1"/>
  <c r="AZ97" i="1"/>
  <c r="AY97" i="1"/>
  <c r="AX97" i="1"/>
  <c r="AU97" i="1"/>
  <c r="AT97" i="1"/>
  <c r="AS97" i="1"/>
  <c r="AR97" i="1"/>
  <c r="AO97" i="1"/>
  <c r="AN97" i="1"/>
  <c r="AM97" i="1"/>
  <c r="AL97" i="1"/>
  <c r="AJ97" i="1"/>
  <c r="AD97" i="1"/>
  <c r="Y97" i="1"/>
  <c r="BL73" i="1"/>
  <c r="BM73" i="1" s="1"/>
  <c r="BN73" i="1" s="1"/>
  <c r="BO73" i="1" s="1"/>
  <c r="BP73" i="1" s="1"/>
  <c r="BQ73" i="1" s="1"/>
  <c r="BR73" i="1" s="1"/>
  <c r="BS73" i="1" s="1"/>
  <c r="BT73" i="1" s="1"/>
  <c r="BU73" i="1" s="1"/>
  <c r="BV73" i="1" s="1"/>
  <c r="D42" i="1"/>
  <c r="I42" i="1" s="1"/>
  <c r="N42" i="1" s="1"/>
  <c r="T42" i="1" s="1"/>
  <c r="BM26" i="1"/>
  <c r="BL33" i="1"/>
  <c r="BM33" i="1" s="1"/>
  <c r="BN33" i="1" s="1"/>
  <c r="BO33" i="1" s="1"/>
  <c r="BP33" i="1" s="1"/>
  <c r="BQ33" i="1" s="1"/>
  <c r="BR33" i="1" s="1"/>
  <c r="BS33" i="1" s="1"/>
  <c r="BT33" i="1" s="1"/>
  <c r="BU33" i="1" s="1"/>
  <c r="BV33" i="1" s="1"/>
  <c r="AZ46" i="1"/>
  <c r="AT46" i="1"/>
  <c r="BV61" i="1" l="1"/>
  <c r="I30" i="2"/>
  <c r="H27" i="2"/>
  <c r="I27" i="2" s="1"/>
  <c r="AR55" i="1" l="1"/>
  <c r="AO55" i="1"/>
  <c r="AN81" i="1" l="1"/>
  <c r="AU75" i="1" l="1"/>
  <c r="AU62" i="1" l="1"/>
  <c r="AI81" i="1"/>
  <c r="AJ98" i="1"/>
  <c r="AJ60" i="1"/>
  <c r="AJ56" i="1"/>
  <c r="AJ53" i="1"/>
  <c r="AJ20" i="1"/>
  <c r="AJ17" i="1"/>
  <c r="BS18" i="1" l="1"/>
  <c r="BP119" i="1" l="1"/>
  <c r="BQ119" i="1" s="1"/>
  <c r="BR119" i="1" s="1"/>
  <c r="AF42" i="1"/>
  <c r="AT45" i="1"/>
  <c r="BS119" i="1" l="1"/>
  <c r="BT119" i="1" s="1"/>
  <c r="BU119" i="1" l="1"/>
  <c r="BV119" i="1" s="1"/>
  <c r="AG51" i="1"/>
  <c r="AJ51" i="1" s="1"/>
  <c r="AR53" i="1"/>
  <c r="AX64" i="1" l="1"/>
  <c r="BE64" i="1" s="1"/>
  <c r="BN111" i="1" l="1"/>
  <c r="BO111" i="1" s="1"/>
  <c r="BP111" i="1" s="1"/>
  <c r="BQ111" i="1" s="1"/>
  <c r="BR111" i="1" s="1"/>
  <c r="BS111" i="1" s="1"/>
  <c r="BT111" i="1" s="1"/>
  <c r="BU111" i="1" s="1"/>
  <c r="BV111" i="1" s="1"/>
  <c r="BN110" i="1"/>
  <c r="BP110" i="1" s="1"/>
  <c r="BQ110" i="1" s="1"/>
  <c r="BS110" i="1" s="1"/>
  <c r="BT110" i="1" s="1"/>
  <c r="J30" i="2" l="1"/>
  <c r="AH75" i="1" l="1"/>
  <c r="AH42" i="1"/>
  <c r="BU74" i="1" l="1"/>
  <c r="BL62" i="1" l="1"/>
  <c r="BM62" i="1" s="1"/>
  <c r="BN62" i="1" s="1"/>
  <c r="BO62" i="1" s="1"/>
  <c r="BP62" i="1" s="1"/>
  <c r="BQ62" i="1" s="1"/>
  <c r="BR62" i="1" s="1"/>
  <c r="BS62" i="1" s="1"/>
  <c r="BT62" i="1" s="1"/>
  <c r="BU62" i="1" s="1"/>
  <c r="BV62" i="1" s="1"/>
  <c r="BR27" i="1"/>
  <c r="BU27" i="1" s="1"/>
  <c r="BQ27" i="1"/>
  <c r="BT27" i="1" s="1"/>
  <c r="BP26" i="1"/>
  <c r="BS26" i="1" s="1"/>
  <c r="BV26" i="1" s="1"/>
  <c r="BT24" i="1"/>
  <c r="BT18" i="1"/>
  <c r="BV18" i="1"/>
  <c r="BU19" i="1"/>
  <c r="BV19" i="1"/>
  <c r="BT20" i="1"/>
  <c r="BU20" i="1"/>
  <c r="BV20" i="1"/>
  <c r="BV22" i="1"/>
  <c r="BT23" i="1"/>
  <c r="BU23" i="1"/>
  <c r="BV23" i="1"/>
  <c r="BU24" i="1"/>
  <c r="BV24" i="1"/>
  <c r="BT25" i="1"/>
  <c r="BU25" i="1"/>
  <c r="BV25" i="1"/>
  <c r="BT26" i="1"/>
  <c r="BU26" i="1"/>
  <c r="BT28" i="1"/>
  <c r="BU28" i="1"/>
  <c r="BV28" i="1"/>
  <c r="BT30" i="1"/>
  <c r="BU30" i="1"/>
  <c r="BV30" i="1"/>
  <c r="BT32" i="1"/>
  <c r="BU32" i="1"/>
  <c r="BV32" i="1"/>
  <c r="BT34" i="1"/>
  <c r="BU34" i="1"/>
  <c r="BV34" i="1"/>
  <c r="BT35" i="1"/>
  <c r="BU35" i="1"/>
  <c r="BV35" i="1"/>
  <c r="BT36" i="1"/>
  <c r="BU36" i="1"/>
  <c r="BV36" i="1"/>
  <c r="BT51" i="1"/>
  <c r="BU51" i="1"/>
  <c r="BV51" i="1"/>
  <c r="BT78" i="1"/>
  <c r="BU78" i="1"/>
  <c r="BV78" i="1"/>
  <c r="BT112" i="1"/>
  <c r="BT113" i="1" s="1"/>
  <c r="BT115" i="1" s="1"/>
  <c r="BT117" i="1" s="1"/>
  <c r="BU112" i="1"/>
  <c r="BU113" i="1" s="1"/>
  <c r="BU115" i="1" s="1"/>
  <c r="BU117" i="1" s="1"/>
  <c r="BV112" i="1"/>
  <c r="BH112" i="1"/>
  <c r="BK112" i="1"/>
  <c r="BV113" i="1" l="1"/>
  <c r="BV115" i="1" s="1"/>
  <c r="BV117" i="1" s="1"/>
  <c r="BH113" i="1"/>
  <c r="BH115" i="1" s="1"/>
  <c r="BH117" i="1" s="1"/>
  <c r="BK113" i="1"/>
  <c r="BK115" i="1" s="1"/>
  <c r="BK117" i="1" s="1"/>
  <c r="AG52" i="1"/>
  <c r="AG42" i="1"/>
  <c r="BG37" i="1" l="1"/>
  <c r="BF37" i="1"/>
  <c r="BE37" i="1"/>
  <c r="BB37" i="1"/>
  <c r="BA37" i="1"/>
  <c r="AZ37" i="1"/>
  <c r="AY37" i="1"/>
  <c r="AX37" i="1"/>
  <c r="AU37" i="1"/>
  <c r="AT37" i="1"/>
  <c r="AS37" i="1"/>
  <c r="AR37" i="1"/>
  <c r="BH37" i="1"/>
  <c r="AD60" i="1"/>
  <c r="AD56" i="1"/>
  <c r="AD53" i="1"/>
  <c r="AD23" i="1"/>
  <c r="AD24" i="1"/>
  <c r="AD17" i="1"/>
  <c r="AH55" i="1" l="1"/>
  <c r="AH81" i="1" s="1"/>
  <c r="AO98" i="1" l="1"/>
  <c r="AE42" i="1" l="1"/>
  <c r="AG62" i="1" l="1"/>
  <c r="AJ62" i="1" s="1"/>
  <c r="AG55" i="1" l="1"/>
  <c r="AG81" i="1" l="1"/>
  <c r="AJ55" i="1"/>
  <c r="AL81" i="1"/>
  <c r="BQ72" i="1"/>
  <c r="AE52" i="1" l="1"/>
  <c r="AJ52" i="1" s="1"/>
  <c r="AE37" i="1"/>
  <c r="C31" i="1"/>
  <c r="C62" i="1"/>
  <c r="D31" i="1"/>
  <c r="D37" i="1" s="1"/>
  <c r="D52" i="1"/>
  <c r="E37" i="1"/>
  <c r="E42" i="1"/>
  <c r="E81" i="1" s="1"/>
  <c r="F37" i="1"/>
  <c r="F51" i="1"/>
  <c r="F42" i="1"/>
  <c r="G17" i="1"/>
  <c r="G37" i="1" s="1"/>
  <c r="G52" i="1"/>
  <c r="G81" i="1" s="1"/>
  <c r="H37" i="1"/>
  <c r="H81" i="1"/>
  <c r="J17" i="1"/>
  <c r="J37" i="1" s="1"/>
  <c r="J70" i="1"/>
  <c r="J81" i="1" s="1"/>
  <c r="K37" i="1"/>
  <c r="K42" i="1"/>
  <c r="K81" i="1" s="1"/>
  <c r="L37" i="1"/>
  <c r="L42" i="1"/>
  <c r="M37" i="1"/>
  <c r="M81" i="1"/>
  <c r="O37" i="1"/>
  <c r="O42" i="1"/>
  <c r="P55" i="1"/>
  <c r="T55" i="1" s="1"/>
  <c r="P42" i="1"/>
  <c r="Q37" i="1"/>
  <c r="Q65" i="1"/>
  <c r="BO65" i="1" s="1"/>
  <c r="Q42" i="1"/>
  <c r="R37" i="1"/>
  <c r="R81" i="1"/>
  <c r="S37" i="1"/>
  <c r="S72" i="1"/>
  <c r="BO72" i="1" s="1"/>
  <c r="X37" i="1"/>
  <c r="U61" i="1"/>
  <c r="U70" i="1"/>
  <c r="V37" i="1"/>
  <c r="W37" i="1"/>
  <c r="W42" i="1"/>
  <c r="W81" i="1" s="1"/>
  <c r="X52" i="1"/>
  <c r="Y52" i="1" s="1"/>
  <c r="X70" i="1"/>
  <c r="Z37" i="1"/>
  <c r="Z81" i="1"/>
  <c r="AA37" i="1"/>
  <c r="AA55" i="1"/>
  <c r="AA42" i="1"/>
  <c r="AB37" i="1"/>
  <c r="AB42" i="1"/>
  <c r="AB81" i="1" s="1"/>
  <c r="AC31" i="1"/>
  <c r="AD31" i="1" s="1"/>
  <c r="AC61" i="1"/>
  <c r="AC70" i="1"/>
  <c r="AG21" i="1"/>
  <c r="AH37" i="1"/>
  <c r="AI37" i="1"/>
  <c r="AL37" i="1"/>
  <c r="AM37" i="1"/>
  <c r="AN37" i="1"/>
  <c r="AO37" i="1"/>
  <c r="AU56" i="1"/>
  <c r="BB75" i="1"/>
  <c r="BH75" i="1" s="1"/>
  <c r="BK75" i="1" s="1"/>
  <c r="BL75" i="1" s="1"/>
  <c r="BM75" i="1" s="1"/>
  <c r="BN75" i="1" s="1"/>
  <c r="BO75" i="1" s="1"/>
  <c r="BP75" i="1" s="1"/>
  <c r="BQ75" i="1" s="1"/>
  <c r="BR75" i="1" s="1"/>
  <c r="BS75" i="1" s="1"/>
  <c r="BT75" i="1" s="1"/>
  <c r="BU75" i="1" s="1"/>
  <c r="BV75" i="1" s="1"/>
  <c r="BL112" i="1"/>
  <c r="D24" i="2"/>
  <c r="E24" i="2" s="1"/>
  <c r="E33" i="2" s="1"/>
  <c r="E34" i="2" s="1"/>
  <c r="AD42" i="1" s="1"/>
  <c r="J20" i="2"/>
  <c r="G18" i="2"/>
  <c r="H18" i="2" s="1"/>
  <c r="I18" i="2" s="1"/>
  <c r="J18" i="2" s="1"/>
  <c r="F18" i="2"/>
  <c r="G9" i="2"/>
  <c r="H9" i="2" s="1"/>
  <c r="I9" i="2" s="1"/>
  <c r="J9" i="2" s="1"/>
  <c r="F15" i="2"/>
  <c r="G15" i="2" s="1"/>
  <c r="H15" i="2" s="1"/>
  <c r="I15" i="2" s="1"/>
  <c r="J15" i="2" s="1"/>
  <c r="F16" i="2"/>
  <c r="G16" i="2" s="1"/>
  <c r="H16" i="2" s="1"/>
  <c r="I16" i="2" s="1"/>
  <c r="J16" i="2" s="1"/>
  <c r="F17" i="2"/>
  <c r="G17" i="2" s="1"/>
  <c r="H17" i="2" s="1"/>
  <c r="I17" i="2" s="1"/>
  <c r="J17" i="2" s="1"/>
  <c r="F19" i="2"/>
  <c r="G19" i="2" s="1"/>
  <c r="H19" i="2" s="1"/>
  <c r="I19" i="2" s="1"/>
  <c r="J19" i="2" s="1"/>
  <c r="F20" i="2"/>
  <c r="G20" i="2" s="1"/>
  <c r="H20" i="2" s="1"/>
  <c r="I20" i="2" s="1"/>
  <c r="F22" i="2"/>
  <c r="G22" i="2" s="1"/>
  <c r="H22" i="2" s="1"/>
  <c r="I22" i="2" s="1"/>
  <c r="J22" i="2" s="1"/>
  <c r="F23" i="2"/>
  <c r="G23" i="2" s="1"/>
  <c r="H23" i="2" s="1"/>
  <c r="I23" i="2" s="1"/>
  <c r="J23" i="2" s="1"/>
  <c r="F14" i="2"/>
  <c r="G14" i="2" s="1"/>
  <c r="H14" i="2" s="1"/>
  <c r="I14" i="2" s="1"/>
  <c r="J14" i="2" s="1"/>
  <c r="F7" i="2"/>
  <c r="G7" i="2" s="1"/>
  <c r="F8" i="2"/>
  <c r="G8" i="2" s="1"/>
  <c r="H8" i="2" s="1"/>
  <c r="I8" i="2" s="1"/>
  <c r="J8" i="2" s="1"/>
  <c r="F9" i="2"/>
  <c r="F10" i="2"/>
  <c r="G10" i="2" s="1"/>
  <c r="H10" i="2" s="1"/>
  <c r="I10" i="2" s="1"/>
  <c r="J10" i="2" s="1"/>
  <c r="D28" i="2"/>
  <c r="J27" i="2"/>
  <c r="T98" i="1"/>
  <c r="Y72" i="1"/>
  <c r="Y60" i="1"/>
  <c r="Y57" i="1"/>
  <c r="Y56" i="1"/>
  <c r="Y53" i="1"/>
  <c r="Y31" i="1"/>
  <c r="Y17" i="1"/>
  <c r="T62" i="1"/>
  <c r="AI112" i="1"/>
  <c r="AI113" i="1" s="1"/>
  <c r="AI115" i="1" s="1"/>
  <c r="T31" i="1"/>
  <c r="N97" i="1"/>
  <c r="T71" i="1"/>
  <c r="T60" i="1"/>
  <c r="T56" i="1"/>
  <c r="T53" i="1"/>
  <c r="T52" i="1"/>
  <c r="T17" i="1"/>
  <c r="BS27" i="1"/>
  <c r="BV27" i="1" s="1"/>
  <c r="U97" i="1"/>
  <c r="BK98" i="1"/>
  <c r="BL98" i="1" s="1"/>
  <c r="BM98" i="1" s="1"/>
  <c r="BN98" i="1" s="1"/>
  <c r="BO98" i="1" s="1"/>
  <c r="BP98" i="1" s="1"/>
  <c r="BQ98" i="1" s="1"/>
  <c r="BR98" i="1" s="1"/>
  <c r="BS98" i="1" s="1"/>
  <c r="BT98" i="1" s="1"/>
  <c r="BU98" i="1" s="1"/>
  <c r="BV98" i="1" s="1"/>
  <c r="BQ51" i="1"/>
  <c r="BR51" i="1"/>
  <c r="BS51" i="1"/>
  <c r="BS52" i="1"/>
  <c r="BT52" i="1" s="1"/>
  <c r="BQ64" i="1"/>
  <c r="BR64" i="1" s="1"/>
  <c r="BS64" i="1"/>
  <c r="BQ65" i="1"/>
  <c r="BR65" i="1"/>
  <c r="BS65" i="1"/>
  <c r="BT65" i="1" s="1"/>
  <c r="BU65" i="1" s="1"/>
  <c r="BV65" i="1" s="1"/>
  <c r="BS67" i="1"/>
  <c r="BQ68" i="1"/>
  <c r="BR68" i="1"/>
  <c r="BS68" i="1"/>
  <c r="BQ69" i="1"/>
  <c r="BR69" i="1"/>
  <c r="BS69" i="1"/>
  <c r="BT69" i="1" s="1"/>
  <c r="BU69" i="1" s="1"/>
  <c r="BV69" i="1" s="1"/>
  <c r="BQ71" i="1"/>
  <c r="BR71" i="1"/>
  <c r="BT71" i="1"/>
  <c r="BU71" i="1" s="1"/>
  <c r="BV71" i="1" s="1"/>
  <c r="BS72" i="1"/>
  <c r="BT72" i="1" s="1"/>
  <c r="BU72" i="1" s="1"/>
  <c r="BQ74" i="1"/>
  <c r="BR74" i="1"/>
  <c r="BS74" i="1"/>
  <c r="BT74" i="1" s="1"/>
  <c r="BQ78" i="1"/>
  <c r="BR78" i="1"/>
  <c r="BS78" i="1"/>
  <c r="BR22" i="1"/>
  <c r="BR18" i="1"/>
  <c r="BR19" i="1"/>
  <c r="BS19" i="1"/>
  <c r="BR20" i="1"/>
  <c r="BS22" i="1"/>
  <c r="BR23" i="1"/>
  <c r="BS23" i="1"/>
  <c r="BR24" i="1"/>
  <c r="BS24" i="1"/>
  <c r="BR25" i="1"/>
  <c r="BS25" i="1"/>
  <c r="BR26" i="1"/>
  <c r="BR28" i="1"/>
  <c r="BS28" i="1"/>
  <c r="BR30" i="1"/>
  <c r="BS30" i="1"/>
  <c r="BR32" i="1"/>
  <c r="BS32" i="1"/>
  <c r="BR34" i="1"/>
  <c r="BS34" i="1"/>
  <c r="BR35" i="1"/>
  <c r="BS35" i="1"/>
  <c r="BR36" i="1"/>
  <c r="BS36" i="1"/>
  <c r="BQ18" i="1"/>
  <c r="BQ19" i="1"/>
  <c r="BQ20" i="1"/>
  <c r="BQ22" i="1"/>
  <c r="BQ23" i="1"/>
  <c r="BQ25" i="1"/>
  <c r="BQ26" i="1"/>
  <c r="BQ28" i="1"/>
  <c r="BQ30" i="1"/>
  <c r="BQ32" i="1"/>
  <c r="BQ34" i="1"/>
  <c r="BQ35" i="1"/>
  <c r="BQ36" i="1"/>
  <c r="BQ112" i="1"/>
  <c r="BQ113" i="1" s="1"/>
  <c r="BR112" i="1"/>
  <c r="BR113" i="1" s="1"/>
  <c r="BR115" i="1" s="1"/>
  <c r="BR117" i="1" s="1"/>
  <c r="BS112" i="1"/>
  <c r="BS113" i="1" s="1"/>
  <c r="BS115" i="1" s="1"/>
  <c r="BS117" i="1" s="1"/>
  <c r="BO45" i="1"/>
  <c r="BR45" i="1" s="1"/>
  <c r="BU45" i="1" s="1"/>
  <c r="BP45" i="1"/>
  <c r="BS45" i="1" s="1"/>
  <c r="BV45" i="1" s="1"/>
  <c r="BN45" i="1"/>
  <c r="BQ45" i="1" s="1"/>
  <c r="BT45" i="1" s="1"/>
  <c r="BP18" i="1"/>
  <c r="BP19" i="1"/>
  <c r="BP20" i="1"/>
  <c r="BP22" i="1"/>
  <c r="BP24" i="1"/>
  <c r="BP25" i="1"/>
  <c r="BP28" i="1"/>
  <c r="BP30" i="1"/>
  <c r="BP32" i="1"/>
  <c r="BP34" i="1"/>
  <c r="BP35" i="1"/>
  <c r="BP36" i="1"/>
  <c r="BO18" i="1"/>
  <c r="BO19" i="1"/>
  <c r="BO20" i="1"/>
  <c r="BO23" i="1"/>
  <c r="BO24" i="1"/>
  <c r="BO25" i="1"/>
  <c r="BO26" i="1"/>
  <c r="BO28" i="1"/>
  <c r="BO30" i="1"/>
  <c r="BO32" i="1"/>
  <c r="BO34" i="1"/>
  <c r="BO35" i="1"/>
  <c r="BO36" i="1"/>
  <c r="BO17" i="1"/>
  <c r="BN18" i="1"/>
  <c r="BN19" i="1"/>
  <c r="BN20" i="1"/>
  <c r="BN23" i="1"/>
  <c r="BN24" i="1"/>
  <c r="BN25" i="1"/>
  <c r="BN26" i="1"/>
  <c r="BN28" i="1"/>
  <c r="BN30" i="1"/>
  <c r="BN32" i="1"/>
  <c r="BN34" i="1"/>
  <c r="BN35" i="1"/>
  <c r="BN36" i="1"/>
  <c r="BN74" i="1"/>
  <c r="BO74" i="1"/>
  <c r="BP74" i="1"/>
  <c r="BN112" i="1"/>
  <c r="BN113" i="1" s="1"/>
  <c r="BN115" i="1" s="1"/>
  <c r="BN117" i="1" s="1"/>
  <c r="BO112" i="1"/>
  <c r="BO113" i="1" s="1"/>
  <c r="BP112" i="1"/>
  <c r="BP113" i="1" s="1"/>
  <c r="BN68" i="1"/>
  <c r="BO68" i="1"/>
  <c r="BP68" i="1"/>
  <c r="BN69" i="1"/>
  <c r="BO69" i="1"/>
  <c r="BN71" i="1"/>
  <c r="BP71" i="1"/>
  <c r="BN72" i="1"/>
  <c r="BN64" i="1"/>
  <c r="BO64" i="1" s="1"/>
  <c r="BP64" i="1" s="1"/>
  <c r="BN65" i="1"/>
  <c r="BP65" i="1"/>
  <c r="BO51" i="1"/>
  <c r="BP51" i="1"/>
  <c r="BM112" i="1"/>
  <c r="BM113" i="1" s="1"/>
  <c r="BM115" i="1" s="1"/>
  <c r="BM117" i="1" s="1"/>
  <c r="BM52" i="1"/>
  <c r="BM64" i="1"/>
  <c r="BM65" i="1"/>
  <c r="BM68" i="1"/>
  <c r="BM69" i="1"/>
  <c r="BM71" i="1"/>
  <c r="BM72" i="1"/>
  <c r="BM74" i="1"/>
  <c r="BK51" i="1"/>
  <c r="BL51" i="1"/>
  <c r="BK52" i="1"/>
  <c r="BK64" i="1"/>
  <c r="BL64" i="1"/>
  <c r="BK65" i="1"/>
  <c r="BL65" i="1"/>
  <c r="BK68" i="1"/>
  <c r="BL68" i="1"/>
  <c r="BK69" i="1"/>
  <c r="BL69" i="1"/>
  <c r="BK71" i="1"/>
  <c r="BL71" i="1"/>
  <c r="BO71" i="1" s="1"/>
  <c r="BK72" i="1"/>
  <c r="BL72" i="1"/>
  <c r="BK74" i="1"/>
  <c r="BL74" i="1"/>
  <c r="BM18" i="1"/>
  <c r="BM20" i="1"/>
  <c r="BM22" i="1"/>
  <c r="BM23" i="1"/>
  <c r="BM24" i="1"/>
  <c r="BK19" i="1"/>
  <c r="BL19" i="1"/>
  <c r="BK20" i="1"/>
  <c r="BL20" i="1"/>
  <c r="BK22" i="1"/>
  <c r="BL22" i="1"/>
  <c r="BK23" i="1"/>
  <c r="BL23" i="1"/>
  <c r="BK24" i="1"/>
  <c r="BL24" i="1"/>
  <c r="BL18" i="1"/>
  <c r="BK18" i="1"/>
  <c r="BL27" i="1"/>
  <c r="S97" i="1"/>
  <c r="R97" i="1"/>
  <c r="Q97" i="1"/>
  <c r="D97" i="1"/>
  <c r="BP72" i="1"/>
  <c r="I37" i="1"/>
  <c r="I81" i="1"/>
  <c r="BG45" i="1"/>
  <c r="AZ45" i="1"/>
  <c r="F9" i="1"/>
  <c r="G9" i="1" s="1"/>
  <c r="H9" i="1" s="1"/>
  <c r="J9" i="1" s="1"/>
  <c r="K9" i="1" s="1"/>
  <c r="L9" i="1" s="1"/>
  <c r="M9" i="1" s="1"/>
  <c r="O9" i="1" s="1"/>
  <c r="P9" i="1" s="1"/>
  <c r="Q9" i="1" s="1"/>
  <c r="R9" i="1" s="1"/>
  <c r="S9" i="1" s="1"/>
  <c r="AU66" i="1"/>
  <c r="BH66" i="1" s="1"/>
  <c r="BK66" i="1" s="1"/>
  <c r="Y98" i="1"/>
  <c r="BQ52" i="1"/>
  <c r="BB62" i="1"/>
  <c r="BH62" i="1" s="1"/>
  <c r="O97" i="1" l="1"/>
  <c r="I28" i="2"/>
  <c r="J28" i="2" s="1"/>
  <c r="AX81" i="1"/>
  <c r="BB63" i="1"/>
  <c r="BH63" i="1" s="1"/>
  <c r="BL63" i="1" s="1"/>
  <c r="AO81" i="1"/>
  <c r="T97" i="1"/>
  <c r="AG37" i="1"/>
  <c r="AJ21" i="1"/>
  <c r="AF81" i="1"/>
  <c r="Y42" i="1"/>
  <c r="I29" i="2"/>
  <c r="J29" i="2" s="1"/>
  <c r="Y37" i="1"/>
  <c r="F24" i="2"/>
  <c r="G24" i="2" s="1"/>
  <c r="H24" i="2" s="1"/>
  <c r="I24" i="2" s="1"/>
  <c r="J24" i="2" s="1"/>
  <c r="BM66" i="1"/>
  <c r="BN66" i="1" s="1"/>
  <c r="BO66" i="1" s="1"/>
  <c r="BP66" i="1" s="1"/>
  <c r="BQ66" i="1" s="1"/>
  <c r="BR66" i="1" s="1"/>
  <c r="BS66" i="1" s="1"/>
  <c r="BT66" i="1" s="1"/>
  <c r="BU66" i="1" s="1"/>
  <c r="BV66" i="1" s="1"/>
  <c r="BU52" i="1"/>
  <c r="L81" i="1"/>
  <c r="C37" i="1"/>
  <c r="BB56" i="1"/>
  <c r="BH56" i="1" s="1"/>
  <c r="BK56" i="1" s="1"/>
  <c r="BL56" i="1" s="1"/>
  <c r="BM56" i="1" s="1"/>
  <c r="BN56" i="1" s="1"/>
  <c r="BO56" i="1" s="1"/>
  <c r="BP56" i="1" s="1"/>
  <c r="BR56" i="1" s="1"/>
  <c r="P97" i="1"/>
  <c r="BT64" i="1"/>
  <c r="BL61" i="1"/>
  <c r="BM61" i="1" s="1"/>
  <c r="BN61" i="1" s="1"/>
  <c r="BO61" i="1" s="1"/>
  <c r="BP61" i="1" s="1"/>
  <c r="BA55" i="1"/>
  <c r="P81" i="1"/>
  <c r="BL57" i="1"/>
  <c r="BM57" i="1" s="1"/>
  <c r="BN57" i="1" s="1"/>
  <c r="BO57" i="1" s="1"/>
  <c r="BP57" i="1" s="1"/>
  <c r="BQ57" i="1" s="1"/>
  <c r="BR57" i="1" s="1"/>
  <c r="BS57" i="1" s="1"/>
  <c r="BT57" i="1" s="1"/>
  <c r="BU57" i="1" s="1"/>
  <c r="BV57" i="1" s="1"/>
  <c r="AY53" i="1"/>
  <c r="BN37" i="1"/>
  <c r="X81" i="1"/>
  <c r="U81" i="1"/>
  <c r="N17" i="1"/>
  <c r="N37" i="1" s="1"/>
  <c r="AC37" i="1"/>
  <c r="T72" i="1"/>
  <c r="P37" i="1"/>
  <c r="BP115" i="1"/>
  <c r="BP117" i="1" s="1"/>
  <c r="BQ115" i="1"/>
  <c r="BQ117" i="1" s="1"/>
  <c r="C81" i="1"/>
  <c r="BM37" i="1"/>
  <c r="U37" i="1"/>
  <c r="Q81" i="1"/>
  <c r="BK37" i="1"/>
  <c r="BO115" i="1"/>
  <c r="BO117" i="1" s="1"/>
  <c r="BR21" i="1"/>
  <c r="O81" i="1"/>
  <c r="AF37" i="1"/>
  <c r="F81" i="1"/>
  <c r="BL70" i="1"/>
  <c r="BM70" i="1" s="1"/>
  <c r="BN70" i="1" s="1"/>
  <c r="BO70" i="1" s="1"/>
  <c r="BQ70" i="1" s="1"/>
  <c r="BP17" i="1"/>
  <c r="BO37" i="1"/>
  <c r="AU60" i="1"/>
  <c r="BB60" i="1" s="1"/>
  <c r="BH60" i="1" s="1"/>
  <c r="BK60" i="1" s="1"/>
  <c r="AD55" i="1"/>
  <c r="AA81" i="1"/>
  <c r="S81" i="1"/>
  <c r="N81" i="1"/>
  <c r="C97" i="1"/>
  <c r="BL113" i="1"/>
  <c r="BL115" i="1" s="1"/>
  <c r="BL117" i="1" s="1"/>
  <c r="D81" i="1"/>
  <c r="BT56" i="1"/>
  <c r="BT67" i="1"/>
  <c r="BV67" i="1" s="1"/>
  <c r="BL52" i="1"/>
  <c r="BL37" i="1"/>
  <c r="AD37" i="1"/>
  <c r="BF67" i="1"/>
  <c r="BK67" i="1" s="1"/>
  <c r="BL67" i="1" s="1"/>
  <c r="BM67" i="1" s="1"/>
  <c r="BN67" i="1" s="1"/>
  <c r="BO67" i="1" s="1"/>
  <c r="BP67" i="1" s="1"/>
  <c r="BQ67" i="1" s="1"/>
  <c r="AC81" i="1"/>
  <c r="AE81" i="1"/>
  <c r="BL60" i="1" l="1"/>
  <c r="BM60" i="1" s="1"/>
  <c r="BN60" i="1" s="1"/>
  <c r="BO60" i="1" s="1"/>
  <c r="BP60" i="1" s="1"/>
  <c r="BQ60" i="1" s="1"/>
  <c r="BR60" i="1" s="1"/>
  <c r="BS60" i="1" s="1"/>
  <c r="BT60" i="1" s="1"/>
  <c r="BU60" i="1" s="1"/>
  <c r="BV60" i="1" s="1"/>
  <c r="BM63" i="1"/>
  <c r="BR70" i="1"/>
  <c r="BU64" i="1"/>
  <c r="T37" i="1"/>
  <c r="I33" i="2"/>
  <c r="I34" i="2" s="1"/>
  <c r="G33" i="2"/>
  <c r="G34" i="2" s="1"/>
  <c r="AJ37" i="1"/>
  <c r="F33" i="2"/>
  <c r="F34" i="2" s="1"/>
  <c r="AJ42" i="1" s="1"/>
  <c r="AJ81" i="1" s="1"/>
  <c r="T81" i="1"/>
  <c r="C102" i="1"/>
  <c r="D102" i="1" s="1"/>
  <c r="E102" i="1" s="1"/>
  <c r="F102" i="1" s="1"/>
  <c r="G102" i="1" s="1"/>
  <c r="AU81" i="1"/>
  <c r="C84" i="1"/>
  <c r="H33" i="2"/>
  <c r="H34" i="2" s="1"/>
  <c r="AS42" i="1" s="1"/>
  <c r="AS81" i="1" s="1"/>
  <c r="BV52" i="1"/>
  <c r="Y81" i="1"/>
  <c r="BA81" i="1"/>
  <c r="BE53" i="1"/>
  <c r="AY81" i="1"/>
  <c r="BG55" i="1"/>
  <c r="BQ17" i="1"/>
  <c r="BP37" i="1"/>
  <c r="AD81" i="1"/>
  <c r="BB81" i="1"/>
  <c r="H102" i="1" l="1"/>
  <c r="L102" i="1"/>
  <c r="AZ42" i="1"/>
  <c r="AZ81" i="1" s="1"/>
  <c r="AM42" i="1"/>
  <c r="AM81" i="1" s="1"/>
  <c r="BN63" i="1"/>
  <c r="BS70" i="1"/>
  <c r="BV64" i="1"/>
  <c r="D11" i="1"/>
  <c r="D84" i="1" s="1"/>
  <c r="D88" i="1" s="1"/>
  <c r="D89" i="1" s="1"/>
  <c r="C88" i="1"/>
  <c r="C89" i="1" s="1"/>
  <c r="AT81" i="1"/>
  <c r="I102" i="1"/>
  <c r="N102" i="1" s="1"/>
  <c r="T102" i="1" s="1"/>
  <c r="Y102" i="1" s="1"/>
  <c r="AD102" i="1" s="1"/>
  <c r="AJ102" i="1" s="1"/>
  <c r="J33" i="2"/>
  <c r="J34" i="2" s="1"/>
  <c r="BF42" i="1" s="1"/>
  <c r="BK53" i="1"/>
  <c r="BE81" i="1"/>
  <c r="BL55" i="1"/>
  <c r="BM55" i="1" s="1"/>
  <c r="BN55" i="1" s="1"/>
  <c r="BO55" i="1" s="1"/>
  <c r="BP55" i="1" s="1"/>
  <c r="BR17" i="1"/>
  <c r="BQ37" i="1"/>
  <c r="BH81" i="1"/>
  <c r="J102" i="1" l="1"/>
  <c r="K102" i="1" s="1"/>
  <c r="M102" i="1"/>
  <c r="AR42" i="1"/>
  <c r="AR81" i="1" s="1"/>
  <c r="BL53" i="1"/>
  <c r="BK77" i="1"/>
  <c r="BK42" i="1"/>
  <c r="BF81" i="1"/>
  <c r="BO63" i="1"/>
  <c r="BT70" i="1"/>
  <c r="E11" i="1"/>
  <c r="E84" i="1" s="1"/>
  <c r="E88" i="1" s="1"/>
  <c r="E89" i="1" s="1"/>
  <c r="I11" i="1"/>
  <c r="I84" i="1" s="1"/>
  <c r="I88" i="1" s="1"/>
  <c r="I89" i="1" s="1"/>
  <c r="O102" i="1"/>
  <c r="P102" i="1" s="1"/>
  <c r="Q102" i="1" s="1"/>
  <c r="R102" i="1" s="1"/>
  <c r="S102" i="1" s="1"/>
  <c r="U102" i="1" s="1"/>
  <c r="V102" i="1" s="1"/>
  <c r="W102" i="1" s="1"/>
  <c r="X102" i="1" s="1"/>
  <c r="Z102" i="1" s="1"/>
  <c r="BL42" i="1"/>
  <c r="BM42" i="1" s="1"/>
  <c r="BG81" i="1"/>
  <c r="BS17" i="1"/>
  <c r="BR37" i="1"/>
  <c r="BM53" i="1" l="1"/>
  <c r="BL77" i="1"/>
  <c r="BP63" i="1"/>
  <c r="BU70" i="1"/>
  <c r="N11" i="1"/>
  <c r="N84" i="1" s="1"/>
  <c r="N88" i="1" s="1"/>
  <c r="N89" i="1" s="1"/>
  <c r="F11" i="1"/>
  <c r="F84" i="1" s="1"/>
  <c r="F88" i="1" s="1"/>
  <c r="F89" i="1" s="1"/>
  <c r="BN42" i="1"/>
  <c r="BO42" i="1" s="1"/>
  <c r="BP42" i="1" s="1"/>
  <c r="BQ42" i="1" s="1"/>
  <c r="BR42" i="1" s="1"/>
  <c r="BS42" i="1" s="1"/>
  <c r="BS37" i="1"/>
  <c r="BT17" i="1"/>
  <c r="AA102" i="1"/>
  <c r="AB102" i="1" s="1"/>
  <c r="AC102" i="1" s="1"/>
  <c r="AE102" i="1" s="1"/>
  <c r="BK81" i="1"/>
  <c r="BN53" i="1" l="1"/>
  <c r="BM77" i="1"/>
  <c r="BQ63" i="1"/>
  <c r="BV70" i="1"/>
  <c r="T11" i="1"/>
  <c r="T84" i="1" s="1"/>
  <c r="T88" i="1" s="1"/>
  <c r="T89" i="1" s="1"/>
  <c r="G11" i="1"/>
  <c r="G84" i="1" s="1"/>
  <c r="G88" i="1" s="1"/>
  <c r="G89" i="1" s="1"/>
  <c r="BT42" i="1"/>
  <c r="BU17" i="1"/>
  <c r="BT37" i="1"/>
  <c r="AF102" i="1"/>
  <c r="AG102" i="1" s="1"/>
  <c r="AH102" i="1" s="1"/>
  <c r="BL81" i="1"/>
  <c r="BO53" i="1" l="1"/>
  <c r="BN77" i="1"/>
  <c r="BR63" i="1"/>
  <c r="Y11" i="1"/>
  <c r="Y84" i="1" s="1"/>
  <c r="AD11" i="1" s="1"/>
  <c r="AD84" i="1" s="1"/>
  <c r="AD88" i="1" s="1"/>
  <c r="H11" i="1"/>
  <c r="H84" i="1" s="1"/>
  <c r="H88" i="1" s="1"/>
  <c r="H89" i="1" s="1"/>
  <c r="AI102" i="1"/>
  <c r="BU42" i="1"/>
  <c r="BV17" i="1"/>
  <c r="BU37" i="1"/>
  <c r="BM81" i="1"/>
  <c r="BP53" i="1" l="1"/>
  <c r="BO77" i="1"/>
  <c r="BS63" i="1"/>
  <c r="J11" i="1"/>
  <c r="J84" i="1" s="1"/>
  <c r="J88" i="1" s="1"/>
  <c r="J89" i="1" s="1"/>
  <c r="Y88" i="1"/>
  <c r="Y89" i="1" s="1"/>
  <c r="AL102" i="1"/>
  <c r="BV37" i="1"/>
  <c r="AD89" i="1"/>
  <c r="AJ11" i="1"/>
  <c r="AJ84" i="1" s="1"/>
  <c r="BV42" i="1"/>
  <c r="K11" i="1"/>
  <c r="K84" i="1" s="1"/>
  <c r="K88" i="1" s="1"/>
  <c r="BN81" i="1"/>
  <c r="BQ53" i="1" l="1"/>
  <c r="BP77" i="1"/>
  <c r="BT63" i="1"/>
  <c r="AL11" i="1"/>
  <c r="AJ88" i="1"/>
  <c r="AJ89" i="1" s="1"/>
  <c r="AN102" i="1"/>
  <c r="AM102" i="1"/>
  <c r="AO102" i="1" s="1"/>
  <c r="AR102" i="1" s="1"/>
  <c r="AS102" i="1" s="1"/>
  <c r="AT102" i="1" s="1"/>
  <c r="AU102" i="1" s="1"/>
  <c r="AX102" i="1" s="1"/>
  <c r="AY102" i="1" s="1"/>
  <c r="AZ102" i="1" s="1"/>
  <c r="BA102" i="1" s="1"/>
  <c r="BB102" i="1" s="1"/>
  <c r="BE102" i="1" s="1"/>
  <c r="BF102" i="1" s="1"/>
  <c r="BG102" i="1" s="1"/>
  <c r="BH102" i="1" s="1"/>
  <c r="L11" i="1"/>
  <c r="L84" i="1" s="1"/>
  <c r="L88" i="1" s="1"/>
  <c r="K89" i="1"/>
  <c r="BO81" i="1"/>
  <c r="BK102" i="1" l="1"/>
  <c r="BH121" i="1"/>
  <c r="BR53" i="1"/>
  <c r="BQ77" i="1"/>
  <c r="BU63" i="1"/>
  <c r="BL102" i="1"/>
  <c r="BM102" i="1" s="1"/>
  <c r="BN102" i="1" s="1"/>
  <c r="BO102" i="1" s="1"/>
  <c r="BP102" i="1" s="1"/>
  <c r="BQ102" i="1" s="1"/>
  <c r="BR102" i="1" s="1"/>
  <c r="BS102" i="1" s="1"/>
  <c r="BT102" i="1" s="1"/>
  <c r="BU102" i="1" s="1"/>
  <c r="BV102" i="1" s="1"/>
  <c r="L89" i="1"/>
  <c r="M11" i="1"/>
  <c r="M84" i="1" s="1"/>
  <c r="M88" i="1" s="1"/>
  <c r="BP81" i="1"/>
  <c r="BS53" i="1" l="1"/>
  <c r="BR77" i="1"/>
  <c r="BV63" i="1"/>
  <c r="M89" i="1"/>
  <c r="O11" i="1"/>
  <c r="O84" i="1" s="1"/>
  <c r="O88" i="1" s="1"/>
  <c r="BQ81" i="1"/>
  <c r="BR81" i="1"/>
  <c r="BT53" i="1" l="1"/>
  <c r="BS77" i="1"/>
  <c r="BS81" i="1" s="1"/>
  <c r="P11" i="1"/>
  <c r="P84" i="1" s="1"/>
  <c r="P88" i="1" s="1"/>
  <c r="O89" i="1"/>
  <c r="BU53" i="1" l="1"/>
  <c r="BT77" i="1"/>
  <c r="BT81" i="1" s="1"/>
  <c r="Q11" i="1"/>
  <c r="Q84" i="1" s="1"/>
  <c r="Q88" i="1" s="1"/>
  <c r="P89" i="1"/>
  <c r="BV53" i="1" l="1"/>
  <c r="BV77" i="1" s="1"/>
  <c r="BV81" i="1" s="1"/>
  <c r="BU77" i="1"/>
  <c r="BU81" i="1" s="1"/>
  <c r="R11" i="1"/>
  <c r="R84" i="1" s="1"/>
  <c r="R88" i="1" s="1"/>
  <c r="Q89" i="1"/>
  <c r="S11" i="1" l="1"/>
  <c r="S84" i="1" s="1"/>
  <c r="S88" i="1" s="1"/>
  <c r="R89" i="1"/>
  <c r="U11" i="1" l="1"/>
  <c r="U84" i="1" s="1"/>
  <c r="U88" i="1" s="1"/>
  <c r="S89" i="1"/>
  <c r="U89" i="1" l="1"/>
  <c r="V11" i="1"/>
  <c r="V84" i="1" s="1"/>
  <c r="V88" i="1" s="1"/>
  <c r="W11" i="1" l="1"/>
  <c r="W84" i="1" s="1"/>
  <c r="W88" i="1" s="1"/>
  <c r="V89" i="1"/>
  <c r="X11" i="1" l="1"/>
  <c r="X84" i="1" s="1"/>
  <c r="X88" i="1" s="1"/>
  <c r="W89" i="1"/>
  <c r="Z11" i="1" l="1"/>
  <c r="Z84" i="1" s="1"/>
  <c r="Z88" i="1" s="1"/>
  <c r="X89" i="1"/>
  <c r="AA11" i="1" l="1"/>
  <c r="AA84" i="1" s="1"/>
  <c r="AA88" i="1" s="1"/>
  <c r="Z89" i="1"/>
  <c r="AB11" i="1" l="1"/>
  <c r="AB84" i="1" s="1"/>
  <c r="AA89" i="1"/>
  <c r="AB121" i="1" l="1"/>
  <c r="AB88" i="1"/>
  <c r="AB89" i="1" s="1"/>
  <c r="AC11" i="1"/>
  <c r="AC84" i="1" s="1"/>
  <c r="AC88" i="1" s="1"/>
  <c r="AC89" i="1" l="1"/>
  <c r="AE11" i="1"/>
  <c r="AE84" i="1" s="1"/>
  <c r="AE121" i="1" l="1"/>
  <c r="AE88" i="1"/>
  <c r="AE89" i="1" s="1"/>
  <c r="AF11" i="1"/>
  <c r="AF84" i="1" s="1"/>
  <c r="AF88" i="1" s="1"/>
  <c r="AF121" i="1" l="1"/>
  <c r="AF89" i="1"/>
  <c r="AG11" i="1"/>
  <c r="AG84" i="1" s="1"/>
  <c r="AG88" i="1" s="1"/>
  <c r="AG89" i="1" l="1"/>
  <c r="AH11" i="1"/>
  <c r="AG121" i="1"/>
  <c r="AH84" i="1" l="1"/>
  <c r="AH88" i="1" l="1"/>
  <c r="AH89" i="1" s="1"/>
  <c r="AH121" i="1"/>
  <c r="AI11" i="1"/>
  <c r="AI84" i="1" s="1"/>
  <c r="AL84" i="1" l="1"/>
  <c r="AI88" i="1"/>
  <c r="AI89" i="1" s="1"/>
  <c r="AI121" i="1"/>
  <c r="AL88" i="1" l="1"/>
  <c r="AL89" i="1" s="1"/>
  <c r="AL121" i="1"/>
  <c r="AM11" i="1"/>
  <c r="AM84" i="1" s="1"/>
  <c r="AM121" i="1" l="1"/>
  <c r="AM88" i="1"/>
  <c r="AM89" i="1" s="1"/>
  <c r="AN11" i="1"/>
  <c r="AN84" i="1" s="1"/>
  <c r="AO11" i="1" l="1"/>
  <c r="AO84" i="1" s="1"/>
  <c r="AO88" i="1" s="1"/>
  <c r="AO89" i="1" s="1"/>
  <c r="AN88" i="1"/>
  <c r="AN89" i="1" s="1"/>
  <c r="AN121" i="1"/>
  <c r="AO121" i="1" l="1"/>
  <c r="AR11" i="1"/>
  <c r="AR84" i="1" s="1"/>
  <c r="AR121" i="1" s="1"/>
  <c r="AS11" i="1" l="1"/>
  <c r="AS84" i="1" s="1"/>
  <c r="AS121" i="1" s="1"/>
  <c r="AR89" i="1"/>
  <c r="AT11" i="1" l="1"/>
  <c r="AT84" i="1" s="1"/>
  <c r="AT121" i="1" s="1"/>
  <c r="AS89" i="1"/>
  <c r="AU11" i="1" l="1"/>
  <c r="AU84" i="1" s="1"/>
  <c r="AU121" i="1" s="1"/>
  <c r="AT89" i="1"/>
  <c r="AX11" i="1" l="1"/>
  <c r="AX84" i="1" s="1"/>
  <c r="AX121" i="1" s="1"/>
  <c r="AU89" i="1"/>
  <c r="AY11" i="1" l="1"/>
  <c r="AY84" i="1" s="1"/>
  <c r="AY121" i="1" s="1"/>
  <c r="AX89" i="1"/>
  <c r="AY89" i="1" l="1"/>
  <c r="AZ11" i="1"/>
  <c r="AZ84" i="1" s="1"/>
  <c r="AZ121" i="1" s="1"/>
  <c r="AZ89" i="1" l="1"/>
  <c r="BA11" i="1"/>
  <c r="BA84" i="1" s="1"/>
  <c r="BA121" i="1" s="1"/>
  <c r="BB11" i="1" l="1"/>
  <c r="BB84" i="1" s="1"/>
  <c r="BB121" i="1" s="1"/>
  <c r="BA89" i="1"/>
  <c r="BB89" i="1" l="1"/>
  <c r="BE11" i="1"/>
  <c r="BE84" i="1" s="1"/>
  <c r="BE121" i="1" s="1"/>
  <c r="BE89" i="1" l="1"/>
  <c r="BF11" i="1"/>
  <c r="BF84" i="1" s="1"/>
  <c r="BF121" i="1" s="1"/>
  <c r="BG11" i="1" l="1"/>
  <c r="BG84" i="1" s="1"/>
  <c r="BG121" i="1" s="1"/>
  <c r="BF89" i="1"/>
  <c r="BH11" i="1" l="1"/>
  <c r="BH84" i="1" s="1"/>
  <c r="BK11" i="1" s="1"/>
  <c r="BK84" i="1" s="1"/>
  <c r="BK121" i="1" s="1"/>
  <c r="BG89" i="1"/>
  <c r="BH89" i="1" l="1"/>
  <c r="BK89" i="1"/>
  <c r="BL11" i="1"/>
  <c r="BL84" i="1" s="1"/>
  <c r="BL121" i="1" s="1"/>
  <c r="BM11" i="1" l="1"/>
  <c r="BM84" i="1" s="1"/>
  <c r="BM121" i="1" s="1"/>
  <c r="BL89" i="1"/>
  <c r="BN11" i="1" l="1"/>
  <c r="BN84" i="1" s="1"/>
  <c r="BN89" i="1" s="1"/>
  <c r="BM89" i="1"/>
  <c r="BN121" i="1" l="1"/>
  <c r="BO11" i="1"/>
  <c r="BO84" i="1" s="1"/>
  <c r="BO121" i="1" s="1"/>
  <c r="BP11" i="1" l="1"/>
  <c r="BP84" i="1" s="1"/>
  <c r="BP121" i="1" s="1"/>
  <c r="BO89" i="1"/>
  <c r="BP89" i="1" l="1"/>
  <c r="BQ11" i="1"/>
  <c r="BQ84" i="1" s="1"/>
  <c r="BR11" i="1" l="1"/>
  <c r="BR84" i="1" s="1"/>
  <c r="BS11" i="1" s="1"/>
  <c r="BS84" i="1" s="1"/>
  <c r="BT11" i="1" s="1"/>
  <c r="BT84" i="1" s="1"/>
  <c r="BQ121" i="1"/>
  <c r="BQ89" i="1"/>
  <c r="BS89" i="1" l="1"/>
  <c r="BS121" i="1"/>
  <c r="BR121" i="1"/>
  <c r="BR89" i="1"/>
  <c r="BU11" i="1"/>
  <c r="BU84" i="1" s="1"/>
  <c r="BT89" i="1"/>
  <c r="BT121" i="1"/>
  <c r="BV11" i="1" l="1"/>
  <c r="BV84" i="1" s="1"/>
  <c r="BU89" i="1"/>
  <c r="BU121" i="1"/>
  <c r="BV89" i="1" l="1"/>
  <c r="BV121" i="1"/>
</calcChain>
</file>

<file path=xl/sharedStrings.xml><?xml version="1.0" encoding="utf-8"?>
<sst xmlns="http://schemas.openxmlformats.org/spreadsheetml/2006/main" count="175" uniqueCount="147">
  <si>
    <t>Dec</t>
  </si>
  <si>
    <t>Mar</t>
  </si>
  <si>
    <t>June</t>
  </si>
  <si>
    <t>Sept</t>
  </si>
  <si>
    <t>Rolling 13 Week Forecasted Cash Flow - 2019</t>
  </si>
  <si>
    <t>Forecast</t>
  </si>
  <si>
    <t>Invoiced AR</t>
  </si>
  <si>
    <t>Received AR</t>
  </si>
  <si>
    <t>AP = rec'd invoice, entered in QB, not paid</t>
  </si>
  <si>
    <t>Bold AP = paid</t>
  </si>
  <si>
    <t>Week Ending:</t>
  </si>
  <si>
    <t>January</t>
  </si>
  <si>
    <t>February</t>
  </si>
  <si>
    <t>March</t>
  </si>
  <si>
    <t>April</t>
  </si>
  <si>
    <t>May</t>
  </si>
  <si>
    <t>July</t>
  </si>
  <si>
    <t>August</t>
  </si>
  <si>
    <t>Oct</t>
  </si>
  <si>
    <t>Nov</t>
  </si>
  <si>
    <t>Jan</t>
  </si>
  <si>
    <t>Feb</t>
  </si>
  <si>
    <t>Apr</t>
  </si>
  <si>
    <t>Jun</t>
  </si>
  <si>
    <t>Jul</t>
  </si>
  <si>
    <t>Aug</t>
  </si>
  <si>
    <t>Sep</t>
  </si>
  <si>
    <t>Starting Cash Balance</t>
  </si>
  <si>
    <t>Cash - In</t>
  </si>
  <si>
    <t>Customers - Accounts Receivable, Terms</t>
  </si>
  <si>
    <t>Churn</t>
  </si>
  <si>
    <t>Up Sale/Cross Sale</t>
  </si>
  <si>
    <t>Transfer in from Money Market</t>
  </si>
  <si>
    <r>
      <t>Misc Deposits</t>
    </r>
    <r>
      <rPr>
        <sz val="9.5"/>
        <color rgb="FF000000"/>
        <rFont val="Arial"/>
        <family val="2"/>
      </rPr>
      <t xml:space="preserve"> (refunds, returned deposits)</t>
    </r>
  </si>
  <si>
    <r>
      <t xml:space="preserve">Bank Fees - Out </t>
    </r>
    <r>
      <rPr>
        <sz val="9.5"/>
        <color rgb="FF000000"/>
        <rFont val="Arial"/>
        <family val="2"/>
      </rPr>
      <t>(Analysis Service Charge)</t>
    </r>
  </si>
  <si>
    <t>Bank Fixed Debt - New</t>
  </si>
  <si>
    <t>Total Customers Cash-In</t>
  </si>
  <si>
    <t>Cash - Out</t>
  </si>
  <si>
    <t>Payroll -  10th of each month</t>
  </si>
  <si>
    <t>Put in 4% "raise" in March</t>
  </si>
  <si>
    <t xml:space="preserve">Forecasted Sales Bonuses </t>
  </si>
  <si>
    <t>Forecasted Sales Commissions</t>
  </si>
  <si>
    <r>
      <t xml:space="preserve">Forecasted Bonuses - Annual </t>
    </r>
    <r>
      <rPr>
        <sz val="9.5"/>
        <color theme="1"/>
        <rFont val="Arial"/>
        <family val="2"/>
      </rPr>
      <t>(paid in Feb)</t>
    </r>
  </si>
  <si>
    <t>AP - Vendors</t>
  </si>
  <si>
    <t>State Sales Tax/Registration</t>
  </si>
  <si>
    <t>Bank Debt Payments</t>
  </si>
  <si>
    <t xml:space="preserve">Expense Reports </t>
  </si>
  <si>
    <t>Credit Card Payments</t>
  </si>
  <si>
    <t>Misc Expenses - forecasted</t>
  </si>
  <si>
    <t>CSC</t>
  </si>
  <si>
    <t>Estimated Total Cash Out</t>
  </si>
  <si>
    <t>Ending Operating Cash Balance</t>
  </si>
  <si>
    <t>Weekly Bank Reconciliation - SVB</t>
  </si>
  <si>
    <t>Bank Balance</t>
  </si>
  <si>
    <t>Diff</t>
  </si>
  <si>
    <t>Money Market Draw &amp; A-2 Ext deposits</t>
  </si>
  <si>
    <t>Bank Interest Income/Interest Earned</t>
  </si>
  <si>
    <t>Equity Investor - new</t>
  </si>
  <si>
    <t>Bank Fixed Debt - new</t>
  </si>
  <si>
    <r>
      <t xml:space="preserve">Remaining on MM </t>
    </r>
    <r>
      <rPr>
        <sz val="9.5"/>
        <color theme="1"/>
        <rFont val="Arial"/>
        <family val="2"/>
      </rPr>
      <t>($1,654,907 1/1/19)</t>
    </r>
  </si>
  <si>
    <t>Ending MM Balance</t>
  </si>
  <si>
    <t>Sensitivity</t>
  </si>
  <si>
    <t>Prospects - not signed</t>
  </si>
  <si>
    <t>Assume 60 days to pay</t>
  </si>
  <si>
    <t>Oct Close</t>
  </si>
  <si>
    <t>Nov Close</t>
  </si>
  <si>
    <t>Dec Close</t>
  </si>
  <si>
    <t># of Deals/month - pull down</t>
  </si>
  <si>
    <t>Ave ACV - pull down</t>
  </si>
  <si>
    <t>Total ACV</t>
  </si>
  <si>
    <t>Commission to be paid</t>
  </si>
  <si>
    <t>Total Net New Revenue (@100%)</t>
  </si>
  <si>
    <t>Sensitivity - lower Rev</t>
  </si>
  <si>
    <t>Net Revenue with Reduction</t>
  </si>
  <si>
    <t>New Cash Balance - with new contracts</t>
  </si>
  <si>
    <t>Expected Pay</t>
  </si>
  <si>
    <t>Forecasted Payroll Expenses</t>
  </si>
  <si>
    <t>HOURLY EMPLOYEES:</t>
  </si>
  <si>
    <t>NAME</t>
  </si>
  <si>
    <t>Hourly Rate</t>
  </si>
  <si>
    <t>Total Hours</t>
  </si>
  <si>
    <t>SALARIED EMPLOYEES:</t>
  </si>
  <si>
    <t>Current Annual Salary</t>
  </si>
  <si>
    <t>New Hires</t>
  </si>
  <si>
    <t>Gross Wages Total</t>
  </si>
  <si>
    <t>with ER Payroll Taxes</t>
  </si>
  <si>
    <t>Customer A</t>
  </si>
  <si>
    <t>Customer B</t>
  </si>
  <si>
    <t>Customer C</t>
  </si>
  <si>
    <t>Customer D</t>
  </si>
  <si>
    <t>Customer E</t>
  </si>
  <si>
    <t>Customer F</t>
  </si>
  <si>
    <t>Customer G</t>
  </si>
  <si>
    <t>Customer H</t>
  </si>
  <si>
    <t>PT Emp 1</t>
  </si>
  <si>
    <t>PT Emp 2</t>
  </si>
  <si>
    <t>PT Emp 3</t>
  </si>
  <si>
    <t>PT Emp 4</t>
  </si>
  <si>
    <t>FT Emp 1</t>
  </si>
  <si>
    <t>FT Emp 2</t>
  </si>
  <si>
    <t>FT Emp 3</t>
  </si>
  <si>
    <t>FT Emp 4</t>
  </si>
  <si>
    <t>FT Emp 5</t>
  </si>
  <si>
    <t>FT Emp 6</t>
  </si>
  <si>
    <t>FT Emp 7</t>
  </si>
  <si>
    <t>FT Emp 8</t>
  </si>
  <si>
    <t>FT Emp 9</t>
  </si>
  <si>
    <t>FT Emp 10</t>
  </si>
  <si>
    <t>FT Emp 11</t>
  </si>
  <si>
    <t>New Hire - 1</t>
  </si>
  <si>
    <t>New Hire - 2</t>
  </si>
  <si>
    <t>New Hire - 3</t>
  </si>
  <si>
    <t>New Hire - 4</t>
  </si>
  <si>
    <t>Tax Payments - sales, inc</t>
  </si>
  <si>
    <t>Utilities</t>
  </si>
  <si>
    <t>Legal</t>
  </si>
  <si>
    <t>Facilities</t>
  </si>
  <si>
    <t>SW Storage</t>
  </si>
  <si>
    <t>Annual Software 1</t>
  </si>
  <si>
    <t>IT Contractors</t>
  </si>
  <si>
    <t>Website Development</t>
  </si>
  <si>
    <t>Recruiting</t>
  </si>
  <si>
    <t>Tradeshow/Booth fees</t>
  </si>
  <si>
    <t>Accountants/Audits</t>
  </si>
  <si>
    <t>Health Insurance</t>
  </si>
  <si>
    <t>Misc Vendor 1</t>
  </si>
  <si>
    <t>Misc Vendor 2</t>
  </si>
  <si>
    <t>Operating Cash Account</t>
  </si>
  <si>
    <t>Copyright 2020 Kelley M. Lynch, All Rights Reserved</t>
  </si>
  <si>
    <t>Corporate Insurance</t>
  </si>
  <si>
    <t>Increased costs 5% 2020</t>
  </si>
  <si>
    <t>New Emp (1 new/qtr @ $75k start Q2+burden)</t>
  </si>
  <si>
    <t>Annual Software 2</t>
  </si>
  <si>
    <t>Capital Expense</t>
  </si>
  <si>
    <t>2020 Cash Forecast Scenarios</t>
  </si>
  <si>
    <t>Actual</t>
  </si>
  <si>
    <t>1.  No new signings</t>
  </si>
  <si>
    <t>All other assumptions from above</t>
  </si>
  <si>
    <t>5.  Everthing signs per budget (no additional capital)</t>
  </si>
  <si>
    <t>Original Budgeted Cash forecast</t>
  </si>
  <si>
    <t>Diff vs.  Current</t>
  </si>
  <si>
    <t>Significant Reasons for Diff:  Moved a May signing to April; higher ACV for earlier signings; but then removed 3 signings in June</t>
  </si>
  <si>
    <t>EXAMPLE - Does not tie to this cashflow detail</t>
  </si>
  <si>
    <t>2.  + Customer 1 signing 2/29 and paid by 4/30 ($150k)</t>
  </si>
  <si>
    <t>3.  + Cusomer 2($80) Feb; Customer 3 ($90)  Mar</t>
  </si>
  <si>
    <t>4.  + $1 million investment in May</t>
  </si>
  <si>
    <t>Month sales close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</si>
</sst>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"/>
    <numFmt numFmtId="165" formatCode="mm/dd/yyyy"/>
    <numFmt numFmtId="166" formatCode="_(* #,##0_);_(* \(#,##0\);_(* &quot;-&quot;??_);_(@_)"/>
    <numFmt numFmtId="167" formatCode="_(&quot;$&quot;* #,##0_);_(&quot;$&quot;* \(#,##0\);_(&quot;$&quot;* &quot;-&quot;??_);_(@_)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color theme="9" tint="-0.249977111117893"/>
      <name val="Arial"/>
      <family val="2"/>
    </font>
    <font>
      <b/>
      <sz val="10.5"/>
      <color rgb="FF00B050"/>
      <name val="Arial"/>
      <family val="2"/>
    </font>
    <font>
      <b/>
      <sz val="10.5"/>
      <color theme="1"/>
      <name val="Arial"/>
      <family val="2"/>
    </font>
    <font>
      <sz val="10.5"/>
      <color rgb="FFFF0000"/>
      <name val="Arial"/>
      <family val="2"/>
    </font>
    <font>
      <b/>
      <sz val="10.5"/>
      <color rgb="FF000000"/>
      <name val="Arial"/>
      <family val="2"/>
    </font>
    <font>
      <sz val="10.5"/>
      <color rgb="FF000000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0"/>
      <color rgb="FF000000"/>
      <name val="Arial"/>
      <family val="2"/>
    </font>
    <font>
      <b/>
      <u/>
      <sz val="10"/>
      <color theme="1"/>
      <name val="Arial"/>
      <family val="2"/>
    </font>
    <font>
      <b/>
      <sz val="10"/>
      <color rgb="FF000000"/>
      <name val="Arial"/>
      <family val="2"/>
    </font>
    <font>
      <b/>
      <u/>
      <sz val="10.5"/>
      <color theme="1"/>
      <name val="Arial"/>
      <family val="2"/>
    </font>
    <font>
      <b/>
      <u/>
      <sz val="10.5"/>
      <color rgb="FF000000"/>
      <name val="Arial"/>
      <family val="2"/>
    </font>
    <font>
      <sz val="9.5"/>
      <color rgb="FF000000"/>
      <name val="Arial"/>
      <family val="2"/>
    </font>
    <font>
      <sz val="9.5"/>
      <color theme="1"/>
      <name val="Arial"/>
      <family val="2"/>
    </font>
    <font>
      <sz val="10.5"/>
      <color theme="1" tint="0.499984740745262"/>
      <name val="Arial"/>
      <family val="2"/>
    </font>
    <font>
      <b/>
      <sz val="10.5"/>
      <color theme="1" tint="0.499984740745262"/>
      <name val="Arial"/>
      <family val="2"/>
    </font>
    <font>
      <sz val="11"/>
      <color theme="1" tint="0.499984740745262"/>
      <name val="Calibri"/>
      <family val="2"/>
      <scheme val="minor"/>
    </font>
    <font>
      <sz val="10.5"/>
      <color theme="1" tint="0.34998626667073579"/>
      <name val="Arial"/>
      <family val="2"/>
    </font>
    <font>
      <sz val="11"/>
      <color theme="1" tint="0.34998626667073579"/>
      <name val="Calibri"/>
      <family val="2"/>
      <scheme val="minor"/>
    </font>
    <font>
      <b/>
      <sz val="10.5"/>
      <color theme="1" tint="0.34998626667073579"/>
      <name val="Arial"/>
      <family val="2"/>
    </font>
    <font>
      <i/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i/>
      <sz val="10.5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trike/>
      <sz val="10.5"/>
      <color theme="1"/>
      <name val="Arial"/>
      <family val="2"/>
    </font>
    <font>
      <sz val="10.5"/>
      <color theme="1" tint="0.34998626667073579"/>
      <name val="Arial"/>
    </font>
    <font>
      <sz val="10.5"/>
      <color theme="1"/>
      <name val="Arial"/>
    </font>
    <font>
      <i/>
      <sz val="10.5"/>
      <color theme="1"/>
      <name val="Arial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8E29A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9">
    <xf numFmtId="0" fontId="0" fillId="0" borderId="0" xfId="0"/>
    <xf numFmtId="0" fontId="4" fillId="0" borderId="0" xfId="2" applyFont="1"/>
    <xf numFmtId="0" fontId="5" fillId="0" borderId="0" xfId="2" applyFont="1"/>
    <xf numFmtId="0" fontId="6" fillId="0" borderId="0" xfId="2" applyFont="1"/>
    <xf numFmtId="0" fontId="7" fillId="0" borderId="0" xfId="2" applyFont="1"/>
    <xf numFmtId="167" fontId="0" fillId="0" borderId="0" xfId="0" applyNumberFormat="1"/>
    <xf numFmtId="0" fontId="8" fillId="0" borderId="0" xfId="2" applyFont="1"/>
    <xf numFmtId="0" fontId="9" fillId="0" borderId="0" xfId="2" applyFont="1"/>
    <xf numFmtId="0" fontId="10" fillId="0" borderId="0" xfId="2" applyFont="1"/>
    <xf numFmtId="0" fontId="11" fillId="0" borderId="0" xfId="2" applyFont="1"/>
    <xf numFmtId="0" fontId="12" fillId="0" borderId="0" xfId="2" applyFont="1"/>
    <xf numFmtId="164" fontId="9" fillId="0" borderId="0" xfId="2" applyNumberFormat="1" applyFont="1"/>
    <xf numFmtId="0" fontId="13" fillId="0" borderId="0" xfId="2" applyFont="1"/>
    <xf numFmtId="0" fontId="9" fillId="0" borderId="0" xfId="2" applyFont="1" applyAlignment="1">
      <alignment horizontal="center"/>
    </xf>
    <xf numFmtId="0" fontId="9" fillId="0" borderId="0" xfId="2" applyFont="1" applyAlignment="1">
      <alignment horizontal="right"/>
    </xf>
    <xf numFmtId="16" fontId="9" fillId="0" borderId="0" xfId="2" applyNumberFormat="1" applyFont="1" applyAlignment="1">
      <alignment horizontal="center"/>
    </xf>
    <xf numFmtId="0" fontId="12" fillId="0" borderId="0" xfId="2" applyFont="1" applyAlignment="1">
      <alignment horizontal="center"/>
    </xf>
    <xf numFmtId="49" fontId="14" fillId="0" borderId="0" xfId="2" applyNumberFormat="1" applyFont="1" applyAlignment="1">
      <alignment horizontal="center"/>
    </xf>
    <xf numFmtId="49" fontId="14" fillId="0" borderId="0" xfId="2" applyNumberFormat="1" applyFont="1" applyAlignment="1">
      <alignment horizontal="right"/>
    </xf>
    <xf numFmtId="164" fontId="15" fillId="0" borderId="0" xfId="2" applyNumberFormat="1" applyFont="1"/>
    <xf numFmtId="49" fontId="14" fillId="0" borderId="0" xfId="2" applyNumberFormat="1" applyFont="1" applyAlignment="1">
      <alignment horizontal="left"/>
    </xf>
    <xf numFmtId="165" fontId="15" fillId="0" borderId="0" xfId="2" applyNumberFormat="1" applyFont="1"/>
    <xf numFmtId="49" fontId="15" fillId="0" borderId="0" xfId="2" applyNumberFormat="1" applyFont="1"/>
    <xf numFmtId="0" fontId="12" fillId="0" borderId="0" xfId="2" applyFont="1" applyAlignment="1">
      <alignment horizontal="center" wrapText="1"/>
    </xf>
    <xf numFmtId="165" fontId="14" fillId="0" borderId="0" xfId="2" applyNumberFormat="1" applyFont="1" applyAlignment="1">
      <alignment horizontal="center"/>
    </xf>
    <xf numFmtId="0" fontId="9" fillId="0" borderId="0" xfId="0" applyFont="1"/>
    <xf numFmtId="37" fontId="15" fillId="0" borderId="1" xfId="2" applyNumberFormat="1" applyFont="1" applyBorder="1"/>
    <xf numFmtId="166" fontId="9" fillId="0" borderId="0" xfId="2" applyNumberFormat="1" applyFont="1"/>
    <xf numFmtId="0" fontId="9" fillId="0" borderId="2" xfId="2" applyFont="1" applyBorder="1"/>
    <xf numFmtId="0" fontId="16" fillId="0" borderId="0" xfId="0" applyFont="1" applyAlignment="1">
      <alignment horizontal="left" wrapText="1"/>
    </xf>
    <xf numFmtId="38" fontId="9" fillId="0" borderId="0" xfId="2" applyNumberFormat="1" applyFont="1"/>
    <xf numFmtId="0" fontId="12" fillId="0" borderId="0" xfId="2" applyFont="1" applyAlignment="1">
      <alignment horizontal="right"/>
    </xf>
    <xf numFmtId="164" fontId="14" fillId="0" borderId="0" xfId="2" applyNumberFormat="1" applyFont="1" applyAlignment="1">
      <alignment horizontal="right"/>
    </xf>
    <xf numFmtId="6" fontId="9" fillId="0" borderId="0" xfId="2" applyNumberFormat="1" applyFont="1"/>
    <xf numFmtId="0" fontId="9" fillId="2" borderId="0" xfId="2" applyFont="1" applyFill="1"/>
    <xf numFmtId="0" fontId="12" fillId="2" borderId="0" xfId="2" applyFont="1" applyFill="1"/>
    <xf numFmtId="167" fontId="5" fillId="0" borderId="0" xfId="9" applyNumberFormat="1" applyFont="1"/>
    <xf numFmtId="0" fontId="19" fillId="0" borderId="0" xfId="2" applyFont="1"/>
    <xf numFmtId="37" fontId="17" fillId="0" borderId="1" xfId="2" applyNumberFormat="1" applyFont="1" applyFill="1" applyBorder="1"/>
    <xf numFmtId="37" fontId="15" fillId="0" borderId="1" xfId="2" applyNumberFormat="1" applyFont="1" applyFill="1" applyBorder="1"/>
    <xf numFmtId="37" fontId="14" fillId="0" borderId="1" xfId="2" applyNumberFormat="1" applyFont="1" applyFill="1" applyBorder="1"/>
    <xf numFmtId="167" fontId="9" fillId="0" borderId="0" xfId="9" applyNumberFormat="1" applyFont="1"/>
    <xf numFmtId="0" fontId="9" fillId="0" borderId="0" xfId="2" applyFont="1" applyFill="1"/>
    <xf numFmtId="0" fontId="5" fillId="0" borderId="0" xfId="2" applyFont="1" applyFill="1"/>
    <xf numFmtId="0" fontId="5" fillId="0" borderId="0" xfId="2" applyFont="1" applyFill="1" applyBorder="1"/>
    <xf numFmtId="167" fontId="9" fillId="0" borderId="11" xfId="9" applyNumberFormat="1" applyFont="1" applyBorder="1"/>
    <xf numFmtId="167" fontId="0" fillId="0" borderId="0" xfId="0" applyNumberFormat="1" applyFill="1"/>
    <xf numFmtId="0" fontId="8" fillId="0" borderId="0" xfId="2" applyFont="1" applyFill="1"/>
    <xf numFmtId="0" fontId="9" fillId="0" borderId="0" xfId="2" applyFont="1" applyFill="1" applyAlignment="1">
      <alignment horizontal="center"/>
    </xf>
    <xf numFmtId="0" fontId="9" fillId="0" borderId="1" xfId="2" applyFont="1" applyFill="1" applyBorder="1"/>
    <xf numFmtId="49" fontId="15" fillId="0" borderId="0" xfId="2" applyNumberFormat="1" applyFont="1" applyBorder="1"/>
    <xf numFmtId="49" fontId="14" fillId="3" borderId="0" xfId="2" applyNumberFormat="1" applyFont="1" applyFill="1" applyAlignment="1">
      <alignment horizontal="left"/>
    </xf>
    <xf numFmtId="0" fontId="21" fillId="0" borderId="0" xfId="2" applyFont="1"/>
    <xf numFmtId="49" fontId="22" fillId="0" borderId="0" xfId="2" applyNumberFormat="1" applyFont="1"/>
    <xf numFmtId="37" fontId="14" fillId="0" borderId="1" xfId="2" applyNumberFormat="1" applyFont="1" applyBorder="1"/>
    <xf numFmtId="37" fontId="15" fillId="0" borderId="0" xfId="2" applyNumberFormat="1" applyFont="1"/>
    <xf numFmtId="37" fontId="9" fillId="0" borderId="0" xfId="2" applyNumberFormat="1" applyFont="1" applyAlignment="1">
      <alignment horizontal="center"/>
    </xf>
    <xf numFmtId="37" fontId="9" fillId="0" borderId="0" xfId="2" applyNumberFormat="1" applyFont="1" applyFill="1" applyAlignment="1">
      <alignment horizontal="center"/>
    </xf>
    <xf numFmtId="37" fontId="15" fillId="0" borderId="0" xfId="2" applyNumberFormat="1" applyFont="1" applyFill="1"/>
    <xf numFmtId="37" fontId="9" fillId="0" borderId="0" xfId="2" applyNumberFormat="1" applyFont="1"/>
    <xf numFmtId="37" fontId="9" fillId="0" borderId="0" xfId="2" applyNumberFormat="1" applyFont="1" applyFill="1"/>
    <xf numFmtId="37" fontId="15" fillId="0" borderId="3" xfId="2" applyNumberFormat="1" applyFont="1" applyBorder="1"/>
    <xf numFmtId="37" fontId="15" fillId="0" borderId="3" xfId="2" applyNumberFormat="1" applyFont="1" applyFill="1" applyBorder="1"/>
    <xf numFmtId="37" fontId="11" fillId="0" borderId="1" xfId="2" applyNumberFormat="1" applyFont="1" applyFill="1" applyBorder="1"/>
    <xf numFmtId="37" fontId="11" fillId="0" borderId="1" xfId="2" applyNumberFormat="1" applyFont="1" applyBorder="1"/>
    <xf numFmtId="37" fontId="10" fillId="0" borderId="1" xfId="2" applyNumberFormat="1" applyFont="1" applyBorder="1"/>
    <xf numFmtId="37" fontId="10" fillId="0" borderId="1" xfId="2" applyNumberFormat="1" applyFont="1" applyFill="1" applyBorder="1"/>
    <xf numFmtId="37" fontId="16" fillId="0" borderId="1" xfId="2" applyNumberFormat="1" applyFont="1" applyFill="1" applyBorder="1"/>
    <xf numFmtId="37" fontId="9" fillId="0" borderId="1" xfId="2" applyNumberFormat="1" applyFont="1" applyFill="1" applyBorder="1"/>
    <xf numFmtId="37" fontId="15" fillId="0" borderId="9" xfId="2" applyNumberFormat="1" applyFont="1" applyBorder="1"/>
    <xf numFmtId="37" fontId="15" fillId="0" borderId="5" xfId="2" applyNumberFormat="1" applyFont="1" applyFill="1" applyBorder="1"/>
    <xf numFmtId="37" fontId="9" fillId="0" borderId="10" xfId="2" applyNumberFormat="1" applyFont="1" applyBorder="1"/>
    <xf numFmtId="37" fontId="15" fillId="0" borderId="8" xfId="2" applyNumberFormat="1" applyFont="1" applyBorder="1"/>
    <xf numFmtId="37" fontId="10" fillId="0" borderId="6" xfId="2" applyNumberFormat="1" applyFont="1" applyFill="1" applyBorder="1"/>
    <xf numFmtId="37" fontId="15" fillId="0" borderId="6" xfId="2" applyNumberFormat="1" applyFont="1" applyFill="1" applyBorder="1"/>
    <xf numFmtId="37" fontId="15" fillId="0" borderId="6" xfId="2" applyNumberFormat="1" applyFont="1" applyBorder="1"/>
    <xf numFmtId="37" fontId="15" fillId="0" borderId="4" xfId="2" applyNumberFormat="1" applyFont="1" applyBorder="1"/>
    <xf numFmtId="37" fontId="15" fillId="0" borderId="11" xfId="2" applyNumberFormat="1" applyFont="1" applyFill="1" applyBorder="1"/>
    <xf numFmtId="37" fontId="14" fillId="0" borderId="11" xfId="2" applyNumberFormat="1" applyFont="1" applyFill="1" applyBorder="1"/>
    <xf numFmtId="37" fontId="15" fillId="0" borderId="11" xfId="2" applyNumberFormat="1" applyFont="1" applyBorder="1"/>
    <xf numFmtId="37" fontId="14" fillId="0" borderId="12" xfId="2" applyNumberFormat="1" applyFont="1" applyBorder="1"/>
    <xf numFmtId="37" fontId="9" fillId="0" borderId="14" xfId="2" applyNumberFormat="1" applyFont="1" applyBorder="1"/>
    <xf numFmtId="37" fontId="9" fillId="0" borderId="13" xfId="2" applyNumberFormat="1" applyFont="1" applyBorder="1"/>
    <xf numFmtId="37" fontId="14" fillId="0" borderId="8" xfId="2" applyNumberFormat="1" applyFont="1" applyFill="1" applyBorder="1"/>
    <xf numFmtId="37" fontId="9" fillId="0" borderId="8" xfId="2" applyNumberFormat="1" applyFont="1" applyFill="1" applyBorder="1"/>
    <xf numFmtId="37" fontId="14" fillId="2" borderId="0" xfId="2" applyNumberFormat="1" applyFont="1" applyFill="1"/>
    <xf numFmtId="37" fontId="12" fillId="0" borderId="0" xfId="2" applyNumberFormat="1" applyFont="1"/>
    <xf numFmtId="37" fontId="14" fillId="0" borderId="0" xfId="2" applyNumberFormat="1" applyFont="1"/>
    <xf numFmtId="37" fontId="5" fillId="0" borderId="0" xfId="2" applyNumberFormat="1" applyFont="1" applyBorder="1" applyAlignment="1"/>
    <xf numFmtId="37" fontId="18" fillId="0" borderId="0" xfId="2" applyNumberFormat="1" applyFont="1"/>
    <xf numFmtId="37" fontId="5" fillId="0" borderId="0" xfId="2" applyNumberFormat="1" applyFont="1"/>
    <xf numFmtId="37" fontId="5" fillId="0" borderId="0" xfId="2" applyNumberFormat="1" applyFont="1" applyFill="1"/>
    <xf numFmtId="37" fontId="6" fillId="0" borderId="0" xfId="2" applyNumberFormat="1" applyFont="1"/>
    <xf numFmtId="37" fontId="20" fillId="0" borderId="0" xfId="2" applyNumberFormat="1" applyFont="1"/>
    <xf numFmtId="37" fontId="9" fillId="0" borderId="0" xfId="1" applyNumberFormat="1" applyFont="1"/>
    <xf numFmtId="0" fontId="9" fillId="0" borderId="0" xfId="2" applyFont="1" applyFill="1" applyBorder="1"/>
    <xf numFmtId="9" fontId="5" fillId="0" borderId="0" xfId="10" applyFont="1" applyFill="1" applyBorder="1"/>
    <xf numFmtId="0" fontId="9" fillId="0" borderId="9" xfId="2" applyFont="1" applyFill="1" applyBorder="1"/>
    <xf numFmtId="0" fontId="6" fillId="2" borderId="0" xfId="2" applyFont="1" applyFill="1"/>
    <xf numFmtId="167" fontId="6" fillId="2" borderId="0" xfId="2" applyNumberFormat="1" applyFont="1" applyFill="1" applyAlignment="1">
      <alignment horizontal="right"/>
    </xf>
    <xf numFmtId="37" fontId="6" fillId="2" borderId="0" xfId="2" applyNumberFormat="1" applyFont="1" applyFill="1"/>
    <xf numFmtId="37" fontId="6" fillId="0" borderId="0" xfId="2" applyNumberFormat="1" applyFont="1" applyFill="1"/>
    <xf numFmtId="0" fontId="6" fillId="0" borderId="0" xfId="2" applyFont="1" applyFill="1"/>
    <xf numFmtId="0" fontId="9" fillId="0" borderId="8" xfId="2" applyFont="1" applyFill="1" applyBorder="1"/>
    <xf numFmtId="37" fontId="15" fillId="0" borderId="0" xfId="2" applyNumberFormat="1" applyFont="1" applyBorder="1"/>
    <xf numFmtId="37" fontId="14" fillId="0" borderId="5" xfId="2" applyNumberFormat="1" applyFont="1" applyFill="1" applyBorder="1"/>
    <xf numFmtId="37" fontId="9" fillId="0" borderId="1" xfId="2" applyNumberFormat="1" applyFont="1" applyBorder="1"/>
    <xf numFmtId="0" fontId="9" fillId="0" borderId="5" xfId="2" applyFont="1" applyFill="1" applyBorder="1"/>
    <xf numFmtId="37" fontId="15" fillId="0" borderId="5" xfId="2" applyNumberFormat="1" applyFont="1" applyBorder="1"/>
    <xf numFmtId="37" fontId="14" fillId="0" borderId="9" xfId="2" applyNumberFormat="1" applyFont="1" applyBorder="1"/>
    <xf numFmtId="37" fontId="9" fillId="0" borderId="16" xfId="2" applyNumberFormat="1" applyFont="1" applyBorder="1"/>
    <xf numFmtId="37" fontId="14" fillId="0" borderId="8" xfId="2" applyNumberFormat="1" applyFont="1" applyBorder="1"/>
    <xf numFmtId="37" fontId="10" fillId="0" borderId="8" xfId="2" applyNumberFormat="1" applyFont="1" applyBorder="1"/>
    <xf numFmtId="37" fontId="11" fillId="0" borderId="9" xfId="2" applyNumberFormat="1" applyFont="1" applyFill="1" applyBorder="1"/>
    <xf numFmtId="37" fontId="15" fillId="0" borderId="18" xfId="2" applyNumberFormat="1" applyFont="1" applyBorder="1"/>
    <xf numFmtId="37" fontId="14" fillId="0" borderId="6" xfId="2" applyNumberFormat="1" applyFont="1" applyBorder="1"/>
    <xf numFmtId="37" fontId="14" fillId="0" borderId="5" xfId="2" applyNumberFormat="1" applyFont="1" applyBorder="1"/>
    <xf numFmtId="37" fontId="14" fillId="0" borderId="4" xfId="2" applyNumberFormat="1" applyFont="1" applyBorder="1"/>
    <xf numFmtId="37" fontId="9" fillId="0" borderId="5" xfId="2" applyNumberFormat="1" applyFont="1" applyBorder="1"/>
    <xf numFmtId="37" fontId="15" fillId="0" borderId="19" xfId="2" applyNumberFormat="1" applyFont="1" applyBorder="1"/>
    <xf numFmtId="0" fontId="9" fillId="0" borderId="10" xfId="2" applyFont="1" applyFill="1" applyBorder="1"/>
    <xf numFmtId="37" fontId="15" fillId="0" borderId="10" xfId="2" applyNumberFormat="1" applyFont="1" applyBorder="1"/>
    <xf numFmtId="37" fontId="15" fillId="0" borderId="2" xfId="2" applyNumberFormat="1" applyFont="1" applyBorder="1"/>
    <xf numFmtId="0" fontId="9" fillId="0" borderId="20" xfId="2" applyFont="1" applyFill="1" applyBorder="1"/>
    <xf numFmtId="0" fontId="9" fillId="0" borderId="21" xfId="2" applyFont="1" applyFill="1" applyBorder="1"/>
    <xf numFmtId="37" fontId="14" fillId="0" borderId="13" xfId="2" applyNumberFormat="1" applyFont="1" applyBorder="1"/>
    <xf numFmtId="37" fontId="15" fillId="0" borderId="22" xfId="2" applyNumberFormat="1" applyFont="1" applyBorder="1"/>
    <xf numFmtId="37" fontId="25" fillId="0" borderId="1" xfId="2" applyNumberFormat="1" applyFont="1" applyBorder="1"/>
    <xf numFmtId="0" fontId="27" fillId="0" borderId="0" xfId="0" applyFont="1"/>
    <xf numFmtId="37" fontId="25" fillId="0" borderId="1" xfId="2" applyNumberFormat="1" applyFont="1" applyFill="1" applyBorder="1"/>
    <xf numFmtId="37" fontId="25" fillId="0" borderId="0" xfId="2" applyNumberFormat="1" applyFont="1" applyFill="1"/>
    <xf numFmtId="37" fontId="25" fillId="0" borderId="11" xfId="2" applyNumberFormat="1" applyFont="1" applyBorder="1"/>
    <xf numFmtId="37" fontId="25" fillId="0" borderId="11" xfId="2" applyNumberFormat="1" applyFont="1" applyFill="1" applyBorder="1"/>
    <xf numFmtId="37" fontId="14" fillId="0" borderId="11" xfId="2" applyNumberFormat="1" applyFont="1" applyBorder="1"/>
    <xf numFmtId="37" fontId="28" fillId="0" borderId="1" xfId="2" applyNumberFormat="1" applyFont="1" applyBorder="1"/>
    <xf numFmtId="0" fontId="28" fillId="0" borderId="0" xfId="2" applyFont="1"/>
    <xf numFmtId="37" fontId="28" fillId="0" borderId="0" xfId="2" applyNumberFormat="1" applyFont="1"/>
    <xf numFmtId="0" fontId="29" fillId="0" borderId="0" xfId="0" applyFont="1"/>
    <xf numFmtId="37" fontId="28" fillId="0" borderId="9" xfId="2" applyNumberFormat="1" applyFont="1" applyBorder="1"/>
    <xf numFmtId="37" fontId="28" fillId="0" borderId="1" xfId="2" applyNumberFormat="1" applyFont="1" applyFill="1" applyBorder="1"/>
    <xf numFmtId="37" fontId="30" fillId="0" borderId="1" xfId="2" applyNumberFormat="1" applyFont="1" applyBorder="1"/>
    <xf numFmtId="37" fontId="30" fillId="0" borderId="1" xfId="2" applyNumberFormat="1" applyFont="1" applyFill="1" applyBorder="1"/>
    <xf numFmtId="37" fontId="28" fillId="0" borderId="0" xfId="2" applyNumberFormat="1" applyFont="1" applyFill="1"/>
    <xf numFmtId="37" fontId="28" fillId="0" borderId="8" xfId="2" applyNumberFormat="1" applyFont="1" applyBorder="1"/>
    <xf numFmtId="37" fontId="30" fillId="0" borderId="4" xfId="2" applyNumberFormat="1" applyFont="1" applyBorder="1"/>
    <xf numFmtId="37" fontId="28" fillId="0" borderId="6" xfId="2" applyNumberFormat="1" applyFont="1" applyBorder="1"/>
    <xf numFmtId="37" fontId="28" fillId="0" borderId="11" xfId="2" applyNumberFormat="1" applyFont="1" applyBorder="1"/>
    <xf numFmtId="37" fontId="28" fillId="0" borderId="11" xfId="2" applyNumberFormat="1" applyFont="1" applyFill="1" applyBorder="1"/>
    <xf numFmtId="37" fontId="28" fillId="0" borderId="4" xfId="2" applyNumberFormat="1" applyFont="1" applyBorder="1"/>
    <xf numFmtId="37" fontId="28" fillId="0" borderId="9" xfId="2" applyNumberFormat="1" applyFont="1" applyFill="1" applyBorder="1"/>
    <xf numFmtId="37" fontId="28" fillId="0" borderId="15" xfId="2" applyNumberFormat="1" applyFont="1" applyBorder="1"/>
    <xf numFmtId="37" fontId="28" fillId="0" borderId="6" xfId="2" applyNumberFormat="1" applyFont="1" applyFill="1" applyBorder="1"/>
    <xf numFmtId="37" fontId="11" fillId="0" borderId="8" xfId="2" applyNumberFormat="1" applyFont="1" applyBorder="1"/>
    <xf numFmtId="37" fontId="28" fillId="0" borderId="12" xfId="2" applyNumberFormat="1" applyFont="1" applyBorder="1"/>
    <xf numFmtId="37" fontId="30" fillId="0" borderId="6" xfId="2" applyNumberFormat="1" applyFont="1" applyBorder="1"/>
    <xf numFmtId="37" fontId="28" fillId="0" borderId="23" xfId="2" applyNumberFormat="1" applyFont="1" applyBorder="1"/>
    <xf numFmtId="37" fontId="30" fillId="0" borderId="8" xfId="2" applyNumberFormat="1" applyFont="1" applyBorder="1"/>
    <xf numFmtId="37" fontId="14" fillId="0" borderId="10" xfId="2" applyNumberFormat="1" applyFont="1" applyBorder="1"/>
    <xf numFmtId="37" fontId="15" fillId="0" borderId="12" xfId="2" applyNumberFormat="1" applyFont="1" applyBorder="1"/>
    <xf numFmtId="37" fontId="28" fillId="0" borderId="17" xfId="2" applyNumberFormat="1" applyFont="1" applyBorder="1"/>
    <xf numFmtId="0" fontId="25" fillId="0" borderId="8" xfId="2" applyFont="1" applyFill="1" applyBorder="1"/>
    <xf numFmtId="0" fontId="9" fillId="0" borderId="23" xfId="2" applyFont="1" applyFill="1" applyBorder="1"/>
    <xf numFmtId="37" fontId="28" fillId="0" borderId="2" xfId="2" applyNumberFormat="1" applyFont="1" applyBorder="1"/>
    <xf numFmtId="37" fontId="14" fillId="0" borderId="22" xfId="2" applyNumberFormat="1" applyFont="1" applyBorder="1"/>
    <xf numFmtId="37" fontId="14" fillId="0" borderId="17" xfId="2" applyNumberFormat="1" applyFont="1" applyBorder="1"/>
    <xf numFmtId="167" fontId="31" fillId="0" borderId="0" xfId="2" applyNumberFormat="1" applyFont="1"/>
    <xf numFmtId="0" fontId="31" fillId="0" borderId="0" xfId="2" applyFont="1"/>
    <xf numFmtId="37" fontId="28" fillId="0" borderId="13" xfId="2" applyNumberFormat="1" applyFont="1" applyBorder="1"/>
    <xf numFmtId="37" fontId="15" fillId="0" borderId="16" xfId="2" applyNumberFormat="1" applyFont="1" applyBorder="1"/>
    <xf numFmtId="37" fontId="11" fillId="0" borderId="5" xfId="2" applyNumberFormat="1" applyFont="1" applyBorder="1"/>
    <xf numFmtId="37" fontId="14" fillId="0" borderId="25" xfId="2" applyNumberFormat="1" applyFont="1" applyBorder="1"/>
    <xf numFmtId="37" fontId="30" fillId="0" borderId="10" xfId="2" applyNumberFormat="1" applyFont="1" applyBorder="1"/>
    <xf numFmtId="0" fontId="9" fillId="0" borderId="13" xfId="2" applyFont="1" applyFill="1" applyBorder="1"/>
    <xf numFmtId="37" fontId="28" fillId="0" borderId="26" xfId="2" applyNumberFormat="1" applyFont="1" applyBorder="1"/>
    <xf numFmtId="37" fontId="25" fillId="0" borderId="17" xfId="2" applyNumberFormat="1" applyFont="1" applyBorder="1"/>
    <xf numFmtId="37" fontId="28" fillId="0" borderId="20" xfId="2" applyNumberFormat="1" applyFont="1" applyBorder="1"/>
    <xf numFmtId="37" fontId="25" fillId="0" borderId="20" xfId="2" applyNumberFormat="1" applyFont="1" applyBorder="1"/>
    <xf numFmtId="37" fontId="32" fillId="0" borderId="0" xfId="2" applyNumberFormat="1" applyFont="1" applyAlignment="1">
      <alignment horizontal="left" vertical="top" wrapText="1"/>
    </xf>
    <xf numFmtId="0" fontId="12" fillId="0" borderId="8" xfId="2" applyFont="1" applyFill="1" applyBorder="1"/>
    <xf numFmtId="37" fontId="25" fillId="0" borderId="15" xfId="2" applyNumberFormat="1" applyFont="1" applyBorder="1"/>
    <xf numFmtId="3" fontId="9" fillId="0" borderId="0" xfId="2" applyNumberFormat="1" applyFont="1"/>
    <xf numFmtId="9" fontId="9" fillId="0" borderId="0" xfId="2" applyNumberFormat="1" applyFont="1"/>
    <xf numFmtId="0" fontId="9" fillId="4" borderId="0" xfId="2" applyFont="1" applyFill="1"/>
    <xf numFmtId="164" fontId="15" fillId="4" borderId="0" xfId="2" applyNumberFormat="1" applyFont="1" applyFill="1"/>
    <xf numFmtId="38" fontId="9" fillId="4" borderId="0" xfId="2" applyNumberFormat="1" applyFont="1" applyFill="1"/>
    <xf numFmtId="0" fontId="31" fillId="0" borderId="0" xfId="2" applyFont="1" applyFill="1"/>
    <xf numFmtId="37" fontId="31" fillId="0" borderId="0" xfId="2" applyNumberFormat="1" applyFont="1"/>
    <xf numFmtId="164" fontId="34" fillId="0" borderId="0" xfId="2" applyNumberFormat="1" applyFont="1"/>
    <xf numFmtId="0" fontId="35" fillId="0" borderId="0" xfId="0" applyFont="1"/>
    <xf numFmtId="0" fontId="31" fillId="0" borderId="0" xfId="2" applyFont="1" applyAlignment="1">
      <alignment horizontal="right"/>
    </xf>
    <xf numFmtId="37" fontId="28" fillId="0" borderId="16" xfId="2" applyNumberFormat="1" applyFont="1" applyBorder="1"/>
    <xf numFmtId="37" fontId="25" fillId="0" borderId="8" xfId="2" applyNumberFormat="1" applyFont="1" applyBorder="1"/>
    <xf numFmtId="37" fontId="26" fillId="0" borderId="8" xfId="2" applyNumberFormat="1" applyFont="1" applyBorder="1"/>
    <xf numFmtId="37" fontId="28" fillId="0" borderId="10" xfId="2" applyNumberFormat="1" applyFont="1" applyBorder="1"/>
    <xf numFmtId="37" fontId="28" fillId="0" borderId="27" xfId="2" applyNumberFormat="1" applyFont="1" applyBorder="1"/>
    <xf numFmtId="37" fontId="28" fillId="0" borderId="18" xfId="2" applyNumberFormat="1" applyFont="1" applyBorder="1"/>
    <xf numFmtId="37" fontId="28" fillId="0" borderId="3" xfId="2" applyNumberFormat="1" applyFont="1" applyBorder="1"/>
    <xf numFmtId="37" fontId="28" fillId="0" borderId="5" xfId="2" applyNumberFormat="1" applyFont="1" applyBorder="1"/>
    <xf numFmtId="0" fontId="9" fillId="0" borderId="28" xfId="2" applyFont="1" applyFill="1" applyBorder="1"/>
    <xf numFmtId="37" fontId="11" fillId="0" borderId="9" xfId="2" applyNumberFormat="1" applyFont="1" applyBorder="1"/>
    <xf numFmtId="37" fontId="28" fillId="0" borderId="29" xfId="2" applyNumberFormat="1" applyFont="1" applyBorder="1"/>
    <xf numFmtId="37" fontId="12" fillId="0" borderId="1" xfId="2" applyNumberFormat="1" applyFont="1" applyFill="1" applyBorder="1"/>
    <xf numFmtId="37" fontId="6" fillId="5" borderId="0" xfId="2" applyNumberFormat="1" applyFont="1" applyFill="1"/>
    <xf numFmtId="37" fontId="20" fillId="5" borderId="0" xfId="2" applyNumberFormat="1" applyFont="1" applyFill="1"/>
    <xf numFmtId="0" fontId="5" fillId="5" borderId="0" xfId="2" applyFont="1" applyFill="1"/>
    <xf numFmtId="167" fontId="5" fillId="5" borderId="0" xfId="9" applyNumberFormat="1" applyFont="1" applyFill="1"/>
    <xf numFmtId="37" fontId="30" fillId="0" borderId="12" xfId="2" applyNumberFormat="1" applyFont="1" applyBorder="1"/>
    <xf numFmtId="0" fontId="9" fillId="0" borderId="30" xfId="2" applyFont="1" applyFill="1" applyBorder="1"/>
    <xf numFmtId="0" fontId="9" fillId="0" borderId="25" xfId="2" applyFont="1" applyFill="1" applyBorder="1"/>
    <xf numFmtId="0" fontId="28" fillId="0" borderId="0" xfId="2" applyFont="1" applyFill="1" applyBorder="1"/>
    <xf numFmtId="37" fontId="14" fillId="0" borderId="20" xfId="2" applyNumberFormat="1" applyFont="1" applyBorder="1"/>
    <xf numFmtId="37" fontId="16" fillId="0" borderId="9" xfId="2" applyNumberFormat="1" applyFont="1" applyBorder="1"/>
    <xf numFmtId="37" fontId="28" fillId="0" borderId="8" xfId="1" applyNumberFormat="1" applyFont="1" applyBorder="1"/>
    <xf numFmtId="37" fontId="14" fillId="0" borderId="24" xfId="2" applyNumberFormat="1" applyFont="1" applyBorder="1"/>
    <xf numFmtId="37" fontId="10" fillId="0" borderId="10" xfId="2" applyNumberFormat="1" applyFont="1" applyBorder="1"/>
    <xf numFmtId="37" fontId="28" fillId="0" borderId="21" xfId="2" applyNumberFormat="1" applyFont="1" applyBorder="1"/>
    <xf numFmtId="0" fontId="28" fillId="0" borderId="8" xfId="2" applyFont="1" applyFill="1" applyBorder="1"/>
    <xf numFmtId="37" fontId="28" fillId="0" borderId="22" xfId="2" applyNumberFormat="1" applyFont="1" applyBorder="1"/>
    <xf numFmtId="37" fontId="28" fillId="0" borderId="2" xfId="2" applyNumberFormat="1" applyFont="1" applyFill="1" applyBorder="1"/>
    <xf numFmtId="37" fontId="11" fillId="0" borderId="8" xfId="2" applyNumberFormat="1" applyFont="1" applyFill="1" applyBorder="1"/>
    <xf numFmtId="37" fontId="14" fillId="0" borderId="16" xfId="2" applyNumberFormat="1" applyFont="1" applyBorder="1"/>
    <xf numFmtId="0" fontId="9" fillId="0" borderId="16" xfId="2" applyFont="1" applyFill="1" applyBorder="1"/>
    <xf numFmtId="37" fontId="14" fillId="0" borderId="21" xfId="2" applyNumberFormat="1" applyFont="1" applyBorder="1"/>
    <xf numFmtId="8" fontId="0" fillId="0" borderId="0" xfId="0" applyNumberFormat="1"/>
    <xf numFmtId="14" fontId="0" fillId="0" borderId="0" xfId="0" applyNumberFormat="1"/>
    <xf numFmtId="0" fontId="36" fillId="0" borderId="0" xfId="0" applyFont="1"/>
    <xf numFmtId="0" fontId="37" fillId="0" borderId="0" xfId="0" applyFont="1"/>
    <xf numFmtId="6" fontId="0" fillId="0" borderId="0" xfId="0" applyNumberFormat="1"/>
    <xf numFmtId="6" fontId="36" fillId="0" borderId="0" xfId="0" applyNumberFormat="1" applyFont="1"/>
    <xf numFmtId="0" fontId="0" fillId="0" borderId="0" xfId="0" applyAlignment="1">
      <alignment horizontal="right"/>
    </xf>
    <xf numFmtId="37" fontId="10" fillId="0" borderId="11" xfId="2" applyNumberFormat="1" applyFont="1" applyBorder="1"/>
    <xf numFmtId="37" fontId="10" fillId="0" borderId="14" xfId="2" applyNumberFormat="1" applyFont="1" applyBorder="1"/>
    <xf numFmtId="0" fontId="9" fillId="0" borderId="6" xfId="2" applyFont="1" applyFill="1" applyBorder="1"/>
    <xf numFmtId="0" fontId="28" fillId="0" borderId="21" xfId="2" applyFont="1" applyFill="1" applyBorder="1"/>
    <xf numFmtId="0" fontId="9" fillId="0" borderId="18" xfId="2" applyFont="1" applyFill="1" applyBorder="1"/>
    <xf numFmtId="37" fontId="14" fillId="0" borderId="8" xfId="1" applyNumberFormat="1" applyFont="1" applyBorder="1"/>
    <xf numFmtId="166" fontId="9" fillId="0" borderId="0" xfId="2" applyNumberFormat="1" applyFont="1" applyAlignment="1">
      <alignment horizontal="right"/>
    </xf>
    <xf numFmtId="37" fontId="28" fillId="0" borderId="14" xfId="2" applyNumberFormat="1" applyFont="1" applyBorder="1"/>
    <xf numFmtId="37" fontId="17" fillId="0" borderId="1" xfId="2" applyNumberFormat="1" applyFont="1" applyBorder="1"/>
    <xf numFmtId="37" fontId="17" fillId="0" borderId="4" xfId="2" applyNumberFormat="1" applyFont="1" applyBorder="1"/>
    <xf numFmtId="37" fontId="17" fillId="0" borderId="11" xfId="2" applyNumberFormat="1" applyFont="1" applyBorder="1"/>
    <xf numFmtId="37" fontId="17" fillId="0" borderId="15" xfId="2" applyNumberFormat="1" applyFont="1" applyBorder="1"/>
    <xf numFmtId="37" fontId="17" fillId="0" borderId="17" xfId="2" applyNumberFormat="1" applyFont="1" applyBorder="1"/>
    <xf numFmtId="37" fontId="17" fillId="0" borderId="8" xfId="2" applyNumberFormat="1" applyFont="1" applyBorder="1"/>
    <xf numFmtId="37" fontId="17" fillId="0" borderId="0" xfId="2" applyNumberFormat="1" applyFont="1"/>
    <xf numFmtId="37" fontId="28" fillId="0" borderId="5" xfId="2" applyNumberFormat="1" applyFont="1" applyFill="1" applyBorder="1"/>
    <xf numFmtId="0" fontId="9" fillId="0" borderId="4" xfId="2" applyFont="1" applyFill="1" applyBorder="1"/>
    <xf numFmtId="37" fontId="28" fillId="0" borderId="4" xfId="2" applyNumberFormat="1" applyFont="1" applyFill="1" applyBorder="1"/>
    <xf numFmtId="37" fontId="28" fillId="0" borderId="3" xfId="2" applyNumberFormat="1" applyFont="1" applyFill="1" applyBorder="1"/>
    <xf numFmtId="0" fontId="31" fillId="0" borderId="0" xfId="2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166" fontId="31" fillId="0" borderId="0" xfId="2" applyNumberFormat="1" applyFont="1" applyBorder="1" applyAlignment="1">
      <alignment horizontal="right"/>
    </xf>
    <xf numFmtId="0" fontId="31" fillId="0" borderId="0" xfId="2" applyFont="1" applyFill="1" applyBorder="1" applyAlignment="1">
      <alignment horizontal="right"/>
    </xf>
    <xf numFmtId="166" fontId="31" fillId="0" borderId="0" xfId="1" applyNumberFormat="1" applyFont="1" applyAlignment="1">
      <alignment horizontal="right"/>
    </xf>
    <xf numFmtId="37" fontId="11" fillId="0" borderId="25" xfId="2" applyNumberFormat="1" applyFont="1" applyBorder="1"/>
    <xf numFmtId="37" fontId="30" fillId="0" borderId="9" xfId="2" applyNumberFormat="1" applyFont="1" applyBorder="1"/>
    <xf numFmtId="37" fontId="17" fillId="0" borderId="14" xfId="2" applyNumberFormat="1" applyFont="1" applyBorder="1"/>
    <xf numFmtId="37" fontId="28" fillId="0" borderId="8" xfId="2" applyNumberFormat="1" applyFont="1" applyFill="1" applyBorder="1"/>
    <xf numFmtId="0" fontId="38" fillId="0" borderId="0" xfId="2" applyFont="1"/>
    <xf numFmtId="37" fontId="11" fillId="0" borderId="10" xfId="2" applyNumberFormat="1" applyFont="1" applyBorder="1"/>
    <xf numFmtId="0" fontId="9" fillId="0" borderId="0" xfId="2" quotePrefix="1" applyFont="1"/>
    <xf numFmtId="38" fontId="9" fillId="0" borderId="0" xfId="2" applyNumberFormat="1" applyFont="1" applyFill="1"/>
    <xf numFmtId="6" fontId="9" fillId="0" borderId="0" xfId="2" applyNumberFormat="1" applyFont="1" applyFill="1"/>
    <xf numFmtId="37" fontId="30" fillId="0" borderId="18" xfId="2" applyNumberFormat="1" applyFont="1" applyBorder="1"/>
    <xf numFmtId="37" fontId="28" fillId="0" borderId="30" xfId="2" applyNumberFormat="1" applyFont="1" applyBorder="1"/>
    <xf numFmtId="0" fontId="9" fillId="0" borderId="0" xfId="2" applyFont="1" applyAlignment="1">
      <alignment horizontal="right" indent="2"/>
    </xf>
    <xf numFmtId="37" fontId="25" fillId="0" borderId="2" xfId="2" applyNumberFormat="1" applyFont="1" applyFill="1" applyBorder="1"/>
    <xf numFmtId="0" fontId="9" fillId="0" borderId="17" xfId="2" applyFont="1" applyFill="1" applyBorder="1"/>
    <xf numFmtId="0" fontId="12" fillId="0" borderId="1" xfId="2" applyFont="1" applyFill="1" applyBorder="1"/>
    <xf numFmtId="37" fontId="39" fillId="0" borderId="1" xfId="2" applyNumberFormat="1" applyFont="1" applyBorder="1"/>
    <xf numFmtId="37" fontId="40" fillId="0" borderId="0" xfId="2" applyNumberFormat="1" applyFont="1"/>
    <xf numFmtId="0" fontId="9" fillId="0" borderId="0" xfId="2" applyFont="1" applyFill="1" applyAlignment="1">
      <alignment horizontal="right"/>
    </xf>
    <xf numFmtId="6" fontId="40" fillId="0" borderId="0" xfId="2" applyNumberFormat="1" applyFont="1"/>
    <xf numFmtId="0" fontId="40" fillId="0" borderId="0" xfId="2" applyFont="1" applyAlignment="1">
      <alignment horizontal="right"/>
    </xf>
    <xf numFmtId="6" fontId="31" fillId="0" borderId="0" xfId="2" applyNumberFormat="1" applyFont="1"/>
    <xf numFmtId="0" fontId="0" fillId="0" borderId="0" xfId="0" applyFont="1"/>
    <xf numFmtId="6" fontId="41" fillId="0" borderId="0" xfId="2" applyNumberFormat="1" applyFont="1"/>
    <xf numFmtId="166" fontId="31" fillId="0" borderId="7" xfId="2" applyNumberFormat="1" applyFont="1" applyBorder="1" applyAlignment="1">
      <alignment horizontal="center"/>
    </xf>
    <xf numFmtId="37" fontId="30" fillId="0" borderId="6" xfId="2" applyNumberFormat="1" applyFont="1" applyFill="1" applyBorder="1"/>
    <xf numFmtId="37" fontId="30" fillId="0" borderId="11" xfId="2" applyNumberFormat="1" applyFont="1" applyFill="1" applyBorder="1"/>
    <xf numFmtId="37" fontId="26" fillId="0" borderId="11" xfId="2" applyNumberFormat="1" applyFont="1" applyFill="1" applyBorder="1"/>
    <xf numFmtId="37" fontId="30" fillId="0" borderId="2" xfId="2" applyNumberFormat="1" applyFont="1" applyFill="1" applyBorder="1"/>
    <xf numFmtId="0" fontId="12" fillId="0" borderId="20" xfId="2" applyFont="1" applyFill="1" applyBorder="1"/>
    <xf numFmtId="37" fontId="14" fillId="0" borderId="0" xfId="2" applyNumberFormat="1" applyFont="1" applyBorder="1"/>
    <xf numFmtId="37" fontId="12" fillId="0" borderId="6" xfId="2" applyNumberFormat="1" applyFont="1" applyFill="1" applyBorder="1"/>
    <xf numFmtId="0" fontId="43" fillId="0" borderId="0" xfId="0" applyFont="1"/>
    <xf numFmtId="0" fontId="37" fillId="0" borderId="0" xfId="0" applyFont="1" applyAlignment="1">
      <alignment horizontal="right"/>
    </xf>
    <xf numFmtId="6" fontId="44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14" fontId="44" fillId="0" borderId="0" xfId="0" applyNumberFormat="1" applyFont="1" applyAlignment="1">
      <alignment horizontal="right"/>
    </xf>
    <xf numFmtId="0" fontId="44" fillId="6" borderId="0" xfId="0" applyFont="1" applyFill="1" applyAlignment="1">
      <alignment horizontal="center"/>
    </xf>
    <xf numFmtId="6" fontId="0" fillId="6" borderId="0" xfId="0" applyNumberFormat="1" applyFill="1" applyAlignment="1">
      <alignment horizontal="right"/>
    </xf>
    <xf numFmtId="6" fontId="0" fillId="0" borderId="0" xfId="0" applyNumberFormat="1" applyAlignment="1">
      <alignment horizontal="right"/>
    </xf>
    <xf numFmtId="6" fontId="0" fillId="7" borderId="2" xfId="0" applyNumberFormat="1" applyFill="1" applyBorder="1" applyAlignment="1">
      <alignment horizontal="right"/>
    </xf>
    <xf numFmtId="6" fontId="0" fillId="0" borderId="2" xfId="0" applyNumberFormat="1" applyBorder="1" applyAlignment="1">
      <alignment horizontal="right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right"/>
    </xf>
    <xf numFmtId="6" fontId="36" fillId="0" borderId="0" xfId="0" applyNumberFormat="1" applyFont="1" applyAlignment="1">
      <alignment horizontal="right"/>
    </xf>
    <xf numFmtId="6" fontId="0" fillId="6" borderId="2" xfId="0" applyNumberFormat="1" applyFill="1" applyBorder="1" applyAlignment="1">
      <alignment horizontal="right"/>
    </xf>
    <xf numFmtId="6" fontId="0" fillId="7" borderId="0" xfId="0" applyNumberFormat="1" applyFill="1" applyAlignment="1">
      <alignment horizontal="right"/>
    </xf>
    <xf numFmtId="38" fontId="35" fillId="0" borderId="0" xfId="9" applyNumberFormat="1" applyFont="1" applyFill="1" applyBorder="1" applyAlignment="1">
      <alignment horizontal="right"/>
    </xf>
    <xf numFmtId="6" fontId="35" fillId="0" borderId="2" xfId="0" applyNumberFormat="1" applyFont="1" applyBorder="1" applyAlignment="1">
      <alignment horizontal="right"/>
    </xf>
    <xf numFmtId="0" fontId="35" fillId="0" borderId="0" xfId="9" applyNumberFormat="1" applyFont="1" applyFill="1" applyBorder="1" applyAlignment="1">
      <alignment horizontal="right"/>
    </xf>
    <xf numFmtId="6" fontId="35" fillId="7" borderId="0" xfId="0" applyNumberFormat="1" applyFont="1" applyFill="1" applyAlignment="1">
      <alignment horizontal="right"/>
    </xf>
    <xf numFmtId="166" fontId="31" fillId="0" borderId="7" xfId="2" applyNumberFormat="1" applyFont="1" applyBorder="1" applyAlignment="1">
      <alignment horizontal="center"/>
    </xf>
    <xf numFmtId="0" fontId="33" fillId="0" borderId="3" xfId="2" applyFont="1" applyFill="1" applyBorder="1" applyAlignment="1">
      <alignment horizontal="center"/>
    </xf>
    <xf numFmtId="0" fontId="12" fillId="0" borderId="3" xfId="2" applyFont="1" applyBorder="1" applyAlignment="1">
      <alignment horizontal="center"/>
    </xf>
    <xf numFmtId="0" fontId="36" fillId="0" borderId="7" xfId="0" applyFont="1" applyBorder="1" applyAlignment="1">
      <alignment horizontal="center"/>
    </xf>
  </cellXfs>
  <cellStyles count="11">
    <cellStyle name="Comma" xfId="1" builtinId="3"/>
    <cellStyle name="Comma 12" xfId="3" xr:uid="{00000000-0005-0000-0000-000001000000}"/>
    <cellStyle name="Comma 6 2" xfId="5" xr:uid="{00000000-0005-0000-0000-000002000000}"/>
    <cellStyle name="Currency" xfId="9" builtinId="4"/>
    <cellStyle name="Currency 6" xfId="7" xr:uid="{00000000-0005-0000-0000-000004000000}"/>
    <cellStyle name="Normal" xfId="0" builtinId="0"/>
    <cellStyle name="Normal 18" xfId="2" xr:uid="{00000000-0005-0000-0000-000006000000}"/>
    <cellStyle name="Normal 2" xfId="8" xr:uid="{00000000-0005-0000-0000-000007000000}"/>
    <cellStyle name="Normal 9" xfId="4" xr:uid="{00000000-0005-0000-0000-000008000000}"/>
    <cellStyle name="Percent" xfId="10" builtinId="5"/>
    <cellStyle name="Percent 7" xfId="6" xr:uid="{00000000-0005-0000-0000-000009000000}"/>
  </cellStyles>
  <dxfs count="0"/>
  <tableStyles count="0" defaultTableStyle="TableStyleMedium2" defaultPivotStyle="PivotStyleMedium9"/>
  <colors>
    <mruColors>
      <color rgb="FFEAEAEA"/>
      <color rgb="FFC8E29A"/>
      <color rgb="FFD7EA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156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6" sqref="A6"/>
      <selection pane="bottomRight" activeCell="BM109" sqref="BM109"/>
    </sheetView>
  </sheetViews>
  <sheetFormatPr defaultColWidth="9.15234375" defaultRowHeight="14.6" outlineLevelRow="1" x14ac:dyDescent="0.4"/>
  <cols>
    <col min="1" max="1" width="13.3046875" style="2" customWidth="1"/>
    <col min="2" max="2" width="36.15234375" style="2" customWidth="1"/>
    <col min="3" max="4" width="9.84375" style="2" customWidth="1"/>
    <col min="5" max="8" width="11" style="2" hidden="1" customWidth="1"/>
    <col min="9" max="9" width="9.69140625" style="2" customWidth="1"/>
    <col min="10" max="13" width="9.15234375" style="2" hidden="1" customWidth="1"/>
    <col min="14" max="14" width="9.15234375" style="2" customWidth="1"/>
    <col min="15" max="19" width="9.15234375" style="2" hidden="1" customWidth="1"/>
    <col min="20" max="20" width="9.15234375" style="2" customWidth="1"/>
    <col min="21" max="21" width="10.84375" style="2" hidden="1" customWidth="1"/>
    <col min="22" max="23" width="9.15234375" style="2" hidden="1" customWidth="1"/>
    <col min="24" max="24" width="10.84375" style="2" hidden="1" customWidth="1"/>
    <col min="25" max="25" width="10.84375" style="2" customWidth="1"/>
    <col min="26" max="28" width="10.84375" style="2" hidden="1" customWidth="1"/>
    <col min="29" max="29" width="9.15234375" style="2" hidden="1" customWidth="1"/>
    <col min="30" max="30" width="9.69140625" style="2" bestFit="1" customWidth="1"/>
    <col min="31" max="33" width="11.3046875" style="2" hidden="1" customWidth="1"/>
    <col min="34" max="35" width="9.15234375" style="2" hidden="1" customWidth="1"/>
    <col min="36" max="36" width="9.69140625" style="2" bestFit="1" customWidth="1"/>
    <col min="37" max="37" width="1.69140625" customWidth="1"/>
    <col min="38" max="40" width="10.84375" style="2" customWidth="1"/>
    <col min="41" max="41" width="12.3046875" style="2" customWidth="1"/>
    <col min="42" max="42" width="0.53515625" style="2" hidden="1" customWidth="1"/>
    <col min="43" max="43" width="2.3828125" customWidth="1"/>
    <col min="44" max="44" width="12.69140625" style="2" customWidth="1"/>
    <col min="45" max="47" width="10.84375" style="2" customWidth="1"/>
    <col min="48" max="48" width="13.53515625" style="2" hidden="1" customWidth="1"/>
    <col min="49" max="49" width="1.69140625" customWidth="1"/>
    <col min="50" max="54" width="10.84375" style="2" customWidth="1"/>
    <col min="55" max="55" width="10.84375" style="2" hidden="1" customWidth="1"/>
    <col min="56" max="56" width="1.69140625" customWidth="1"/>
    <col min="57" max="60" width="10.84375" style="2" customWidth="1"/>
    <col min="61" max="61" width="14" style="2" hidden="1" customWidth="1"/>
    <col min="62" max="62" width="10.84375" style="43" bestFit="1" customWidth="1"/>
    <col min="63" max="63" width="11.84375" style="2" bestFit="1" customWidth="1"/>
    <col min="64" max="64" width="12.3046875" style="2" bestFit="1" customWidth="1"/>
    <col min="65" max="65" width="12.84375" style="2" bestFit="1" customWidth="1"/>
    <col min="66" max="67" width="11.69140625" style="43" bestFit="1" customWidth="1"/>
    <col min="68" max="68" width="12.84375" style="43" bestFit="1" customWidth="1"/>
    <col min="69" max="74" width="11.69140625" style="43" bestFit="1" customWidth="1"/>
    <col min="75" max="16384" width="9.15234375" style="43"/>
  </cols>
  <sheetData>
    <row r="1" spans="1:74" ht="17.600000000000001" outlineLevel="1" x14ac:dyDescent="0.4">
      <c r="A1" s="4" t="s">
        <v>127</v>
      </c>
      <c r="E1" s="10"/>
    </row>
    <row r="2" spans="1:74" outlineLevel="1" x14ac:dyDescent="0.4">
      <c r="E2" s="7"/>
      <c r="M2" s="12"/>
      <c r="N2" s="12"/>
    </row>
    <row r="3" spans="1:74" ht="15.45" outlineLevel="1" x14ac:dyDescent="0.4">
      <c r="A3" s="1" t="s">
        <v>4</v>
      </c>
      <c r="E3" s="7"/>
      <c r="AE3" s="5"/>
      <c r="AF3" s="5"/>
      <c r="AG3" s="5"/>
      <c r="AH3" s="5"/>
      <c r="AI3" s="5"/>
      <c r="AL3" s="5"/>
      <c r="AM3" s="5"/>
      <c r="AN3" s="5"/>
      <c r="AO3" s="5"/>
      <c r="AP3" s="5"/>
      <c r="AR3" s="5"/>
      <c r="AS3" s="5"/>
      <c r="AT3" s="5"/>
      <c r="AU3" s="5"/>
      <c r="AV3" s="5"/>
      <c r="AX3" s="5"/>
      <c r="AY3" s="5"/>
      <c r="AZ3" s="5"/>
      <c r="BA3" s="5"/>
      <c r="BB3" s="5"/>
      <c r="BC3" s="5"/>
      <c r="BE3" s="5"/>
      <c r="BF3" s="5"/>
      <c r="BG3" s="5"/>
      <c r="BH3" s="5"/>
      <c r="BI3" s="5"/>
      <c r="BJ3" s="46"/>
      <c r="BK3" s="5"/>
      <c r="BL3" s="5"/>
      <c r="BM3" s="5"/>
    </row>
    <row r="4" spans="1:74" outlineLevel="1" x14ac:dyDescent="0.4">
      <c r="A4" s="135" t="s">
        <v>5</v>
      </c>
      <c r="E4" s="11"/>
    </row>
    <row r="5" spans="1:74" outlineLevel="1" x14ac:dyDescent="0.4">
      <c r="A5" s="8" t="s">
        <v>6</v>
      </c>
      <c r="E5" s="7"/>
      <c r="L5" s="3"/>
    </row>
    <row r="6" spans="1:74" outlineLevel="1" x14ac:dyDescent="0.4">
      <c r="A6" s="9" t="s">
        <v>7</v>
      </c>
    </row>
    <row r="7" spans="1:74" outlineLevel="1" x14ac:dyDescent="0.4">
      <c r="A7" s="7" t="s">
        <v>8</v>
      </c>
    </row>
    <row r="8" spans="1:74" s="47" customFormat="1" ht="14.7" customHeight="1" x14ac:dyDescent="0.35">
      <c r="A8" s="10" t="s">
        <v>9</v>
      </c>
      <c r="B8" s="6"/>
      <c r="C8" s="307">
        <v>2019</v>
      </c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7"/>
      <c r="BF8" s="307"/>
      <c r="BG8" s="307"/>
      <c r="BH8" s="307"/>
      <c r="BK8" s="306">
        <v>2020</v>
      </c>
      <c r="BL8" s="306"/>
      <c r="BM8" s="306"/>
      <c r="BN8" s="306"/>
      <c r="BO8" s="306"/>
      <c r="BP8" s="306"/>
      <c r="BQ8" s="306"/>
      <c r="BR8" s="306"/>
      <c r="BS8" s="306"/>
      <c r="BT8" s="306"/>
      <c r="BU8" s="306"/>
      <c r="BV8" s="306"/>
    </row>
    <row r="9" spans="1:74" s="48" customFormat="1" x14ac:dyDescent="0.4">
      <c r="A9" s="13"/>
      <c r="B9" s="14" t="s">
        <v>10</v>
      </c>
      <c r="C9" s="14" t="s">
        <v>11</v>
      </c>
      <c r="D9" s="14" t="s">
        <v>12</v>
      </c>
      <c r="E9" s="15">
        <v>43532</v>
      </c>
      <c r="F9" s="15">
        <f t="shared" ref="F9:H9" si="0">+E9+7</f>
        <v>43539</v>
      </c>
      <c r="G9" s="15">
        <f t="shared" si="0"/>
        <v>43546</v>
      </c>
      <c r="H9" s="15">
        <f t="shared" si="0"/>
        <v>43553</v>
      </c>
      <c r="I9" s="15" t="s">
        <v>13</v>
      </c>
      <c r="J9" s="15">
        <f>+H9+7</f>
        <v>43560</v>
      </c>
      <c r="K9" s="15">
        <f t="shared" ref="K9" si="1">+J9+7</f>
        <v>43567</v>
      </c>
      <c r="L9" s="15">
        <f t="shared" ref="L9" si="2">+K9+7</f>
        <v>43574</v>
      </c>
      <c r="M9" s="15">
        <f t="shared" ref="M9" si="3">+L9+7</f>
        <v>43581</v>
      </c>
      <c r="N9" s="15" t="s">
        <v>14</v>
      </c>
      <c r="O9" s="15">
        <f>+M9+7</f>
        <v>43588</v>
      </c>
      <c r="P9" s="15">
        <f t="shared" ref="P9" si="4">+O9+7</f>
        <v>43595</v>
      </c>
      <c r="Q9" s="15">
        <f t="shared" ref="Q9" si="5">+P9+7</f>
        <v>43602</v>
      </c>
      <c r="R9" s="15">
        <f t="shared" ref="R9" si="6">+Q9+7</f>
        <v>43609</v>
      </c>
      <c r="S9" s="15">
        <f t="shared" ref="S9" si="7">+R9+7</f>
        <v>43616</v>
      </c>
      <c r="T9" s="15" t="s">
        <v>15</v>
      </c>
      <c r="U9" s="15">
        <v>43623</v>
      </c>
      <c r="V9" s="15">
        <v>43630</v>
      </c>
      <c r="W9" s="15">
        <v>43637</v>
      </c>
      <c r="X9" s="15">
        <v>43644</v>
      </c>
      <c r="Y9" s="15" t="s">
        <v>2</v>
      </c>
      <c r="Z9" s="15">
        <v>43651</v>
      </c>
      <c r="AA9" s="15">
        <v>43658</v>
      </c>
      <c r="AB9" s="15">
        <v>43665</v>
      </c>
      <c r="AC9" s="15">
        <v>43672</v>
      </c>
      <c r="AD9" s="15" t="s">
        <v>16</v>
      </c>
      <c r="AE9" s="15">
        <v>43679</v>
      </c>
      <c r="AF9" s="15">
        <v>43686</v>
      </c>
      <c r="AG9" s="15">
        <v>43693</v>
      </c>
      <c r="AH9" s="15">
        <v>43700</v>
      </c>
      <c r="AI9" s="15">
        <v>43707</v>
      </c>
      <c r="AJ9" s="15" t="s">
        <v>17</v>
      </c>
      <c r="AK9"/>
      <c r="AL9" s="15">
        <v>43714</v>
      </c>
      <c r="AM9" s="15">
        <v>43721</v>
      </c>
      <c r="AN9" s="15">
        <v>43728</v>
      </c>
      <c r="AO9" s="15">
        <v>43735</v>
      </c>
      <c r="AP9" s="13" t="s">
        <v>3</v>
      </c>
      <c r="AQ9"/>
      <c r="AR9" s="15">
        <v>43742</v>
      </c>
      <c r="AS9" s="15">
        <v>43749</v>
      </c>
      <c r="AT9" s="15">
        <v>43756</v>
      </c>
      <c r="AU9" s="15">
        <v>43763</v>
      </c>
      <c r="AV9" s="48" t="s">
        <v>18</v>
      </c>
      <c r="AW9"/>
      <c r="AX9" s="15">
        <v>43770</v>
      </c>
      <c r="AY9" s="15">
        <v>43777</v>
      </c>
      <c r="AZ9" s="15">
        <v>43784</v>
      </c>
      <c r="BA9" s="15">
        <v>43791</v>
      </c>
      <c r="BB9" s="15">
        <v>43798</v>
      </c>
      <c r="BC9" s="48" t="s">
        <v>19</v>
      </c>
      <c r="BD9"/>
      <c r="BE9" s="15">
        <v>43805</v>
      </c>
      <c r="BF9" s="15">
        <v>43812</v>
      </c>
      <c r="BG9" s="15">
        <v>43819</v>
      </c>
      <c r="BH9" s="15">
        <v>43826</v>
      </c>
      <c r="BI9" s="48" t="s">
        <v>0</v>
      </c>
      <c r="BK9" s="48" t="s">
        <v>20</v>
      </c>
      <c r="BL9" s="48" t="s">
        <v>21</v>
      </c>
      <c r="BM9" s="48" t="s">
        <v>1</v>
      </c>
      <c r="BN9" s="48" t="s">
        <v>22</v>
      </c>
      <c r="BO9" s="48" t="s">
        <v>15</v>
      </c>
      <c r="BP9" s="48" t="s">
        <v>23</v>
      </c>
      <c r="BQ9" s="48" t="s">
        <v>24</v>
      </c>
      <c r="BR9" s="48" t="s">
        <v>25</v>
      </c>
      <c r="BS9" s="48" t="s">
        <v>26</v>
      </c>
      <c r="BT9" s="48" t="s">
        <v>18</v>
      </c>
      <c r="BU9" s="48" t="s">
        <v>19</v>
      </c>
      <c r="BV9" s="48" t="s">
        <v>0</v>
      </c>
    </row>
    <row r="10" spans="1:74" s="48" customFormat="1" x14ac:dyDescent="0.4">
      <c r="A10" s="13"/>
      <c r="B10" s="17"/>
      <c r="C10" s="17"/>
      <c r="D10" s="17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/>
      <c r="AL10" s="13"/>
      <c r="AM10" s="13"/>
      <c r="AN10" s="13"/>
      <c r="AO10" s="13"/>
      <c r="AP10" s="13"/>
      <c r="AQ10"/>
      <c r="AR10" s="13"/>
      <c r="AS10" s="13"/>
      <c r="AT10" s="13"/>
      <c r="AU10" s="13"/>
      <c r="AW10"/>
      <c r="AX10" s="13"/>
      <c r="AY10" s="13"/>
      <c r="AZ10" s="13"/>
      <c r="BA10" s="13"/>
      <c r="BB10" s="13"/>
      <c r="BD10"/>
      <c r="BE10" s="13"/>
      <c r="BF10" s="13"/>
      <c r="BG10" s="13"/>
      <c r="BH10" s="13"/>
    </row>
    <row r="11" spans="1:74" s="48" customFormat="1" x14ac:dyDescent="0.4">
      <c r="A11" s="13"/>
      <c r="B11" s="18" t="s">
        <v>27</v>
      </c>
      <c r="C11" s="55">
        <v>38022.449999999997</v>
      </c>
      <c r="D11" s="55">
        <f>+C84</f>
        <v>91904.580000000016</v>
      </c>
      <c r="E11" s="55">
        <f t="shared" ref="E11:S11" si="8">+D84</f>
        <v>35370.680000000022</v>
      </c>
      <c r="F11" s="55">
        <f t="shared" si="8"/>
        <v>-114024.07999999999</v>
      </c>
      <c r="G11" s="55">
        <f t="shared" si="8"/>
        <v>-176402.72999999998</v>
      </c>
      <c r="H11" s="55">
        <f t="shared" si="8"/>
        <v>-199022.61</v>
      </c>
      <c r="I11" s="55">
        <f>D84</f>
        <v>35370.680000000022</v>
      </c>
      <c r="J11" s="55">
        <f>+H84</f>
        <v>-207950.47999999998</v>
      </c>
      <c r="K11" s="55">
        <f t="shared" si="8"/>
        <v>-242561.96999999997</v>
      </c>
      <c r="L11" s="55">
        <f t="shared" si="8"/>
        <v>-378478.26</v>
      </c>
      <c r="M11" s="55">
        <f>+L84</f>
        <v>-407589.44</v>
      </c>
      <c r="N11" s="55">
        <f>I84</f>
        <v>68331.300000000017</v>
      </c>
      <c r="O11" s="55">
        <f>+M84</f>
        <v>-466378.17</v>
      </c>
      <c r="P11" s="55">
        <f t="shared" si="8"/>
        <v>-502894.07</v>
      </c>
      <c r="Q11" s="55">
        <f t="shared" si="8"/>
        <v>-627843.32999999996</v>
      </c>
      <c r="R11" s="55">
        <f t="shared" si="8"/>
        <v>-706197.98</v>
      </c>
      <c r="S11" s="55">
        <f t="shared" si="8"/>
        <v>-741202.51</v>
      </c>
      <c r="T11" s="55">
        <f>+N84</f>
        <v>109313.21000000008</v>
      </c>
      <c r="U11" s="55">
        <f>+S84</f>
        <v>-766255.05</v>
      </c>
      <c r="V11" s="55">
        <f t="shared" ref="V11" si="9">+U84</f>
        <v>-794952.6100000001</v>
      </c>
      <c r="W11" s="55">
        <f t="shared" ref="W11" si="10">+V84</f>
        <v>-1055761.9100000001</v>
      </c>
      <c r="X11" s="55">
        <f>+W84</f>
        <v>-1100862.1000000001</v>
      </c>
      <c r="Y11" s="55">
        <f>T84</f>
        <v>13657.210000000079</v>
      </c>
      <c r="Z11" s="55">
        <f>+X84</f>
        <v>-1132332.98</v>
      </c>
      <c r="AA11" s="55">
        <f>+Z84</f>
        <v>-897946.87</v>
      </c>
      <c r="AB11" s="55">
        <f t="shared" ref="AB11:AC11" si="11">+AA84</f>
        <v>-1041431.61</v>
      </c>
      <c r="AC11" s="55">
        <f t="shared" si="11"/>
        <v>-1119990.53</v>
      </c>
      <c r="AD11" s="55">
        <f>Y84</f>
        <v>19700.720000000088</v>
      </c>
      <c r="AE11" s="55">
        <f>+AC84</f>
        <v>-1154597.05</v>
      </c>
      <c r="AF11" s="55">
        <f>+AE84</f>
        <v>-1210974.8600000001</v>
      </c>
      <c r="AG11" s="55">
        <f t="shared" ref="AG11:AI11" si="12">+AF84</f>
        <v>-1382222.8800000001</v>
      </c>
      <c r="AH11" s="55">
        <f t="shared" si="12"/>
        <v>-1340025.2000000002</v>
      </c>
      <c r="AI11" s="55">
        <f t="shared" si="12"/>
        <v>-1320587.9500000002</v>
      </c>
      <c r="AJ11" s="55">
        <f>AD84</f>
        <v>130094.5976000001</v>
      </c>
      <c r="AK11"/>
      <c r="AL11" s="55">
        <f>AJ84</f>
        <v>111651.39520000009</v>
      </c>
      <c r="AM11" s="55">
        <f>AL84</f>
        <v>82831.955200000084</v>
      </c>
      <c r="AN11" s="55">
        <f t="shared" ref="AN11:AO11" si="13">AM84</f>
        <v>65667.264000000083</v>
      </c>
      <c r="AO11" s="55">
        <f t="shared" si="13"/>
        <v>180575.19400000008</v>
      </c>
      <c r="AP11" s="55"/>
      <c r="AQ11"/>
      <c r="AR11" s="55">
        <f>AO84</f>
        <v>176131.20400000009</v>
      </c>
      <c r="AS11" s="55">
        <f>AR84</f>
        <v>144964.27400000009</v>
      </c>
      <c r="AT11" s="55">
        <f t="shared" ref="AT11" si="14">AS84</f>
        <v>33875.450400000089</v>
      </c>
      <c r="AU11" s="55">
        <f>AT84</f>
        <v>160787.45040000009</v>
      </c>
      <c r="AV11" s="58"/>
      <c r="AW11"/>
      <c r="AX11" s="55">
        <f>AU84</f>
        <v>119832.0204000001</v>
      </c>
      <c r="AY11" s="55">
        <f>AX84</f>
        <v>114832.0204000001</v>
      </c>
      <c r="AZ11" s="55">
        <f t="shared" ref="AZ11:BB11" si="15">AY84</f>
        <v>96012.580400000094</v>
      </c>
      <c r="BA11" s="55">
        <f t="shared" si="15"/>
        <v>163272.89680000008</v>
      </c>
      <c r="BB11" s="55">
        <f t="shared" si="15"/>
        <v>146772.89680000008</v>
      </c>
      <c r="BC11" s="58"/>
      <c r="BD11"/>
      <c r="BE11" s="55">
        <f>BB84</f>
        <v>118817.46680000008</v>
      </c>
      <c r="BF11" s="55">
        <f>BE84</f>
        <v>124998.02680000008</v>
      </c>
      <c r="BG11" s="55">
        <f>BF84</f>
        <v>189640.34680000012</v>
      </c>
      <c r="BH11" s="55">
        <f>BG84</f>
        <v>140847.7068000001</v>
      </c>
      <c r="BI11" s="58"/>
      <c r="BJ11" s="57"/>
      <c r="BK11" s="58">
        <f>BH84</f>
        <v>111392.27680000011</v>
      </c>
      <c r="BL11" s="58">
        <f t="shared" ref="BL11:BS11" si="16">BK84</f>
        <v>109927.99680000008</v>
      </c>
      <c r="BM11" s="58">
        <f t="shared" si="16"/>
        <v>190908.86130000005</v>
      </c>
      <c r="BN11" s="55">
        <f t="shared" si="16"/>
        <v>29149.09910000005</v>
      </c>
      <c r="BO11" s="55">
        <f t="shared" si="16"/>
        <v>20755.511900000041</v>
      </c>
      <c r="BP11" s="55">
        <f t="shared" si="16"/>
        <v>-23925.575299999968</v>
      </c>
      <c r="BQ11" s="55">
        <f t="shared" si="16"/>
        <v>-290119.16249999998</v>
      </c>
      <c r="BR11" s="55">
        <f t="shared" si="16"/>
        <v>-262470.8627</v>
      </c>
      <c r="BS11" s="55">
        <f t="shared" si="16"/>
        <v>-371419.9534</v>
      </c>
      <c r="BT11" s="55">
        <f t="shared" ref="BT11" si="17">BS84</f>
        <v>-575269.04410000006</v>
      </c>
      <c r="BU11" s="55">
        <f t="shared" ref="BU11" si="18">BT84</f>
        <v>-546118.13480000012</v>
      </c>
      <c r="BV11" s="55">
        <f t="shared" ref="BV11" si="19">BU84</f>
        <v>-877242.22550000006</v>
      </c>
    </row>
    <row r="12" spans="1:74" s="48" customFormat="1" x14ac:dyDescent="0.4">
      <c r="A12" s="13"/>
      <c r="B12" s="17"/>
      <c r="C12" s="55"/>
      <c r="D12" s="55"/>
      <c r="E12" s="55"/>
      <c r="F12" s="55"/>
      <c r="G12" s="55"/>
      <c r="H12" s="55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7"/>
      <c r="AF12" s="57"/>
      <c r="AG12" s="57"/>
      <c r="AH12" s="57"/>
      <c r="AI12" s="57"/>
      <c r="AJ12" s="56"/>
      <c r="AK12"/>
      <c r="AL12" s="57"/>
      <c r="AM12" s="57"/>
      <c r="AN12" s="57"/>
      <c r="AO12" s="57"/>
      <c r="AP12" s="57"/>
      <c r="AQ12"/>
      <c r="AR12" s="57"/>
      <c r="AS12" s="57"/>
      <c r="AT12" s="57"/>
      <c r="AU12" s="57"/>
      <c r="AV12" s="57"/>
      <c r="AW12"/>
      <c r="AX12" s="57"/>
      <c r="AY12" s="57"/>
      <c r="AZ12" s="57"/>
      <c r="BA12" s="57"/>
      <c r="BB12" s="57"/>
      <c r="BC12" s="57"/>
      <c r="BD12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6"/>
      <c r="BR12" s="56"/>
      <c r="BS12" s="56"/>
      <c r="BT12" s="56"/>
      <c r="BU12" s="56"/>
      <c r="BV12" s="56"/>
    </row>
    <row r="13" spans="1:74" s="48" customFormat="1" x14ac:dyDescent="0.4">
      <c r="A13" s="51"/>
      <c r="B13" s="51" t="s">
        <v>28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6"/>
      <c r="Y13" s="56"/>
      <c r="Z13" s="56"/>
      <c r="AA13" s="56"/>
      <c r="AB13" s="56"/>
      <c r="AC13" s="56"/>
      <c r="AD13" s="56"/>
      <c r="AE13" s="57"/>
      <c r="AF13" s="57"/>
      <c r="AG13" s="57"/>
      <c r="AH13" s="57"/>
      <c r="AI13" s="57"/>
      <c r="AJ13" s="56"/>
      <c r="AK13"/>
      <c r="AL13" s="57"/>
      <c r="AM13" s="57"/>
      <c r="AN13" s="57"/>
      <c r="AO13" s="57"/>
      <c r="AP13" s="57"/>
      <c r="AQ13"/>
      <c r="AR13" s="57"/>
      <c r="AS13" s="57"/>
      <c r="AT13" s="57"/>
      <c r="AU13" s="57"/>
      <c r="AV13" s="57"/>
      <c r="AW13"/>
      <c r="AX13" s="57"/>
      <c r="AY13" s="57"/>
      <c r="AZ13" s="57"/>
      <c r="BA13" s="57"/>
      <c r="BB13" s="57"/>
      <c r="BC13" s="57"/>
      <c r="BD13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6"/>
      <c r="BR13" s="56"/>
      <c r="BS13" s="56"/>
      <c r="BT13" s="56"/>
      <c r="BU13" s="56"/>
      <c r="BV13" s="56"/>
    </row>
    <row r="14" spans="1:74" s="48" customFormat="1" x14ac:dyDescent="0.4">
      <c r="A14" s="13"/>
      <c r="B14" s="20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6"/>
      <c r="Y14" s="56"/>
      <c r="Z14" s="56"/>
      <c r="AA14" s="56"/>
      <c r="AB14" s="56"/>
      <c r="AC14" s="56"/>
      <c r="AD14" s="56"/>
      <c r="AE14" s="57"/>
      <c r="AF14" s="57"/>
      <c r="AG14" s="57"/>
      <c r="AH14" s="57"/>
      <c r="AI14" s="57"/>
      <c r="AJ14" s="56"/>
      <c r="AK14"/>
      <c r="AL14" s="57"/>
      <c r="AM14" s="57"/>
      <c r="AN14" s="57"/>
      <c r="AO14" s="57"/>
      <c r="AP14" s="57"/>
      <c r="AQ14"/>
      <c r="AR14" s="57"/>
      <c r="AS14" s="57"/>
      <c r="AT14" s="57"/>
      <c r="AU14" s="57"/>
      <c r="AV14" s="57"/>
      <c r="AW14"/>
      <c r="AX14" s="57"/>
      <c r="AY14" s="57"/>
      <c r="AZ14" s="57"/>
      <c r="BA14" s="57"/>
      <c r="BB14" s="57"/>
      <c r="BC14" s="57"/>
      <c r="BD14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6"/>
      <c r="BR14" s="56"/>
      <c r="BS14" s="56"/>
      <c r="BT14" s="56"/>
      <c r="BU14" s="56"/>
      <c r="BV14" s="56"/>
    </row>
    <row r="15" spans="1:74" s="42" customFormat="1" x14ac:dyDescent="0.4">
      <c r="A15" s="21"/>
      <c r="B15" s="22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9"/>
      <c r="Y15" s="59"/>
      <c r="Z15" s="59"/>
      <c r="AA15" s="59"/>
      <c r="AB15" s="59"/>
      <c r="AC15" s="59"/>
      <c r="AD15" s="59"/>
      <c r="AE15" s="60"/>
      <c r="AF15" s="60"/>
      <c r="AG15" s="60"/>
      <c r="AH15" s="60"/>
      <c r="AI15" s="60"/>
      <c r="AJ15" s="59"/>
      <c r="AK15"/>
      <c r="AL15" s="60"/>
      <c r="AM15" s="60"/>
      <c r="AN15" s="60"/>
      <c r="AO15" s="60"/>
      <c r="AP15" s="60"/>
      <c r="AQ15"/>
      <c r="AR15" s="60"/>
      <c r="AS15" s="60"/>
      <c r="AT15" s="60"/>
      <c r="AU15" s="60"/>
      <c r="AV15" s="60"/>
      <c r="AW15"/>
      <c r="AX15" s="60"/>
      <c r="AY15" s="60"/>
      <c r="AZ15" s="60"/>
      <c r="BA15" s="60"/>
      <c r="BB15" s="60"/>
      <c r="BC15" s="60"/>
      <c r="BD15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59"/>
      <c r="BR15" s="59"/>
      <c r="BS15" s="59"/>
      <c r="BT15" s="59"/>
      <c r="BU15" s="59"/>
      <c r="BV15" s="59"/>
    </row>
    <row r="16" spans="1:74" s="42" customFormat="1" x14ac:dyDescent="0.4">
      <c r="A16" s="23"/>
      <c r="B16" s="53" t="s">
        <v>29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104"/>
      <c r="O16" s="61"/>
      <c r="P16" s="61"/>
      <c r="Q16" s="61"/>
      <c r="R16" s="61"/>
      <c r="S16" s="61"/>
      <c r="T16" s="104"/>
      <c r="U16" s="104"/>
      <c r="V16" s="104"/>
      <c r="W16" s="104"/>
      <c r="X16" s="59"/>
      <c r="Y16" s="59"/>
      <c r="Z16" s="59"/>
      <c r="AA16" s="59"/>
      <c r="AB16" s="59"/>
      <c r="AC16" s="59"/>
      <c r="AD16" s="59"/>
      <c r="AE16" s="60"/>
      <c r="AF16" s="60"/>
      <c r="AG16" s="60"/>
      <c r="AH16" s="60"/>
      <c r="AI16" s="60"/>
      <c r="AJ16" s="59"/>
      <c r="AK16"/>
      <c r="AL16" s="60"/>
      <c r="AM16" s="60"/>
      <c r="AN16" s="60"/>
      <c r="AO16" s="60"/>
      <c r="AP16" s="60"/>
      <c r="AQ16"/>
      <c r="AR16" s="60"/>
      <c r="AS16" s="60"/>
      <c r="AT16" s="60"/>
      <c r="AU16" s="60"/>
      <c r="AV16" s="60"/>
      <c r="AW16"/>
      <c r="AX16" s="60"/>
      <c r="AY16" s="60"/>
      <c r="AZ16" s="60"/>
      <c r="BA16" s="60"/>
      <c r="BB16" s="60"/>
      <c r="BC16" s="60"/>
      <c r="BD16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59"/>
      <c r="BR16" s="59"/>
      <c r="BS16" s="59"/>
      <c r="BT16" s="59"/>
      <c r="BU16" s="59"/>
      <c r="BV16" s="59"/>
    </row>
    <row r="17" spans="1:76" s="42" customFormat="1" x14ac:dyDescent="0.4">
      <c r="A17" s="24"/>
      <c r="B17" s="22" t="s">
        <v>86</v>
      </c>
      <c r="C17" s="63"/>
      <c r="D17" s="63">
        <v>500</v>
      </c>
      <c r="E17" s="39"/>
      <c r="F17" s="39"/>
      <c r="G17" s="63">
        <f>500</f>
        <v>500</v>
      </c>
      <c r="H17" s="63">
        <v>500</v>
      </c>
      <c r="I17" s="64">
        <v>1000</v>
      </c>
      <c r="J17" s="64">
        <f>1000+2000</f>
        <v>3000</v>
      </c>
      <c r="K17" s="65"/>
      <c r="L17" s="59"/>
      <c r="M17" s="103"/>
      <c r="N17" s="64">
        <f>SUM(J17:M17)</f>
        <v>3000</v>
      </c>
      <c r="O17" s="64">
        <v>500</v>
      </c>
      <c r="P17" s="71"/>
      <c r="Q17" s="49"/>
      <c r="R17" s="49"/>
      <c r="S17" s="26"/>
      <c r="T17" s="64">
        <f>SUM(O17:S17)</f>
        <v>500</v>
      </c>
      <c r="U17" s="49"/>
      <c r="V17" s="64">
        <v>500</v>
      </c>
      <c r="W17" s="26"/>
      <c r="X17" s="103"/>
      <c r="Y17" s="64">
        <f>SUM(U17:X17)</f>
        <v>500</v>
      </c>
      <c r="Z17" s="64">
        <v>500</v>
      </c>
      <c r="AA17" s="103"/>
      <c r="AB17" s="146"/>
      <c r="AC17" s="103"/>
      <c r="AD17" s="64">
        <f>SUM(Z17:AC17)</f>
        <v>500</v>
      </c>
      <c r="AE17" s="103"/>
      <c r="AF17" s="64">
        <v>500</v>
      </c>
      <c r="AG17" s="197"/>
      <c r="AH17" s="143"/>
      <c r="AI17" s="146"/>
      <c r="AJ17" s="152">
        <f>SUM(AE17:AI17)</f>
        <v>500</v>
      </c>
      <c r="AK17" s="137"/>
      <c r="AL17" s="259">
        <v>500</v>
      </c>
      <c r="AM17" s="103"/>
      <c r="AN17" s="143"/>
      <c r="AO17" s="175"/>
      <c r="AP17" s="246"/>
      <c r="AQ17" s="137"/>
      <c r="AR17" s="139"/>
      <c r="AS17" s="139"/>
      <c r="AT17" s="112">
        <v>500</v>
      </c>
      <c r="AU17" s="149"/>
      <c r="AV17" s="139"/>
      <c r="AW17" s="137"/>
      <c r="AX17" s="139"/>
      <c r="AY17" s="139"/>
      <c r="AZ17" s="139"/>
      <c r="BA17" s="139">
        <v>500</v>
      </c>
      <c r="BB17" s="139"/>
      <c r="BC17" s="49"/>
      <c r="BD17" s="137"/>
      <c r="BE17" s="84"/>
      <c r="BF17" s="84"/>
      <c r="BG17" s="245">
        <v>500</v>
      </c>
      <c r="BH17" s="84"/>
      <c r="BI17" s="246"/>
      <c r="BJ17" s="60"/>
      <c r="BK17" s="139">
        <v>500</v>
      </c>
      <c r="BL17" s="139">
        <v>500</v>
      </c>
      <c r="BM17" s="139">
        <v>500</v>
      </c>
      <c r="BN17" s="134">
        <v>500</v>
      </c>
      <c r="BO17" s="134">
        <f>SUM(O17:S17)</f>
        <v>500</v>
      </c>
      <c r="BP17" s="134">
        <f>BO17</f>
        <v>500</v>
      </c>
      <c r="BQ17" s="134">
        <f>BP17</f>
        <v>500</v>
      </c>
      <c r="BR17" s="134">
        <f>BQ17</f>
        <v>500</v>
      </c>
      <c r="BS17" s="134">
        <f>BR17</f>
        <v>500</v>
      </c>
      <c r="BT17" s="134">
        <f t="shared" ref="BT17:BV17" si="20">BS17</f>
        <v>500</v>
      </c>
      <c r="BU17" s="134">
        <f t="shared" si="20"/>
        <v>500</v>
      </c>
      <c r="BV17" s="134">
        <f t="shared" si="20"/>
        <v>500</v>
      </c>
      <c r="BX17" s="60"/>
    </row>
    <row r="18" spans="1:76" s="42" customFormat="1" x14ac:dyDescent="0.4">
      <c r="A18" s="21"/>
      <c r="B18" s="25" t="s">
        <v>87</v>
      </c>
      <c r="C18" s="63"/>
      <c r="D18" s="63"/>
      <c r="E18" s="39"/>
      <c r="F18" s="39"/>
      <c r="G18" s="66"/>
      <c r="H18" s="39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134"/>
      <c r="Y18" s="134"/>
      <c r="Z18" s="145"/>
      <c r="AA18" s="145"/>
      <c r="AB18" s="134"/>
      <c r="AC18" s="145"/>
      <c r="AD18" s="134"/>
      <c r="AE18" s="145"/>
      <c r="AF18" s="134"/>
      <c r="AG18" s="197"/>
      <c r="AH18" s="143"/>
      <c r="AI18" s="146"/>
      <c r="AJ18" s="143"/>
      <c r="AK18" s="137"/>
      <c r="AL18" s="193"/>
      <c r="AM18" s="103"/>
      <c r="AN18" s="193"/>
      <c r="AO18" s="152">
        <v>24000</v>
      </c>
      <c r="AP18" s="246"/>
      <c r="AQ18" s="137"/>
      <c r="AR18" s="139"/>
      <c r="AS18" s="139"/>
      <c r="AT18" s="245"/>
      <c r="AU18" s="257"/>
      <c r="AV18" s="247"/>
      <c r="AW18" s="137"/>
      <c r="AX18" s="139"/>
      <c r="AY18" s="139"/>
      <c r="AZ18" s="139"/>
      <c r="BA18" s="139"/>
      <c r="BB18" s="139"/>
      <c r="BC18" s="49"/>
      <c r="BD18" s="137"/>
      <c r="BE18" s="145"/>
      <c r="BF18" s="145"/>
      <c r="BG18" s="153"/>
      <c r="BH18" s="143"/>
      <c r="BI18" s="247"/>
      <c r="BJ18" s="60"/>
      <c r="BK18" s="139">
        <f t="shared" ref="BK18:BL20" si="21">C18</f>
        <v>0</v>
      </c>
      <c r="BL18" s="139">
        <f t="shared" si="21"/>
        <v>0</v>
      </c>
      <c r="BM18" s="139">
        <f>I18</f>
        <v>0</v>
      </c>
      <c r="BN18" s="134">
        <f>N18</f>
        <v>0</v>
      </c>
      <c r="BO18" s="134">
        <f>SUM(O18:S18)</f>
        <v>0</v>
      </c>
      <c r="BP18" s="134">
        <f>SUM(U18:X18)</f>
        <v>0</v>
      </c>
      <c r="BQ18" s="134">
        <f>SUM(Z18:AC18)</f>
        <v>0</v>
      </c>
      <c r="BR18" s="134">
        <f>AE18</f>
        <v>0</v>
      </c>
      <c r="BS18" s="134">
        <f>AO18</f>
        <v>24000</v>
      </c>
      <c r="BT18" s="134">
        <f t="shared" ref="BT18:BV20" si="22">AP18</f>
        <v>0</v>
      </c>
      <c r="BU18" s="134"/>
      <c r="BV18" s="134">
        <f t="shared" si="22"/>
        <v>0</v>
      </c>
      <c r="BX18" s="60"/>
    </row>
    <row r="19" spans="1:76" s="42" customFormat="1" x14ac:dyDescent="0.4">
      <c r="A19" s="24"/>
      <c r="B19" s="25" t="s">
        <v>88</v>
      </c>
      <c r="C19" s="63"/>
      <c r="D19" s="63"/>
      <c r="E19" s="39"/>
      <c r="F19" s="58"/>
      <c r="G19" s="67"/>
      <c r="H19" s="63">
        <v>10810</v>
      </c>
      <c r="I19" s="64">
        <v>10000</v>
      </c>
      <c r="J19" s="26"/>
      <c r="K19" s="26"/>
      <c r="L19" s="26"/>
      <c r="M19" s="106"/>
      <c r="N19" s="26"/>
      <c r="O19" s="26"/>
      <c r="P19" s="26"/>
      <c r="Q19" s="26"/>
      <c r="R19" s="26"/>
      <c r="S19" s="26"/>
      <c r="T19" s="69"/>
      <c r="U19" s="26"/>
      <c r="V19" s="69"/>
      <c r="W19" s="69"/>
      <c r="X19" s="138"/>
      <c r="Y19" s="134"/>
      <c r="Z19" s="138"/>
      <c r="AA19" s="138"/>
      <c r="AB19" s="134"/>
      <c r="AC19" s="134"/>
      <c r="AD19" s="134"/>
      <c r="AE19" s="134"/>
      <c r="AF19" s="134"/>
      <c r="AG19" s="197"/>
      <c r="AH19" s="143"/>
      <c r="AI19" s="162"/>
      <c r="AJ19" s="143"/>
      <c r="AK19" s="137"/>
      <c r="AL19" s="153"/>
      <c r="AM19" s="143"/>
      <c r="AN19" s="143"/>
      <c r="AO19" s="167"/>
      <c r="AP19" s="246"/>
      <c r="AQ19" s="137"/>
      <c r="AR19" s="138"/>
      <c r="AS19" s="139"/>
      <c r="AT19" s="245"/>
      <c r="AU19" s="103"/>
      <c r="AV19" s="247"/>
      <c r="AW19" s="137"/>
      <c r="AY19" s="139"/>
      <c r="AZ19" s="112">
        <v>75000</v>
      </c>
      <c r="BA19" s="139"/>
      <c r="BB19" s="139"/>
      <c r="BC19" s="139"/>
      <c r="BD19" s="137"/>
      <c r="BE19" s="134"/>
      <c r="BF19" s="245"/>
      <c r="BH19" s="145"/>
      <c r="BI19" s="139"/>
      <c r="BJ19" s="60"/>
      <c r="BK19" s="139">
        <f t="shared" si="21"/>
        <v>0</v>
      </c>
      <c r="BL19" s="139">
        <f t="shared" si="21"/>
        <v>0</v>
      </c>
      <c r="BM19" s="139"/>
      <c r="BN19" s="134">
        <f>N19</f>
        <v>0</v>
      </c>
      <c r="BO19" s="134">
        <f>SUM(O19:S19)</f>
        <v>0</v>
      </c>
      <c r="BP19" s="134">
        <f>SUM(U19:X19)</f>
        <v>0</v>
      </c>
      <c r="BQ19" s="134">
        <f>SUM(Z19:AC19)</f>
        <v>0</v>
      </c>
      <c r="BR19" s="134">
        <f>AE19</f>
        <v>0</v>
      </c>
      <c r="BS19" s="134">
        <f>AO19</f>
        <v>0</v>
      </c>
      <c r="BT19" s="134">
        <v>85000</v>
      </c>
      <c r="BU19" s="134">
        <f t="shared" si="22"/>
        <v>0</v>
      </c>
      <c r="BV19" s="134">
        <f t="shared" si="22"/>
        <v>0</v>
      </c>
      <c r="BX19" s="60"/>
    </row>
    <row r="20" spans="1:76" s="42" customFormat="1" x14ac:dyDescent="0.4">
      <c r="A20" s="21"/>
      <c r="B20" s="25" t="s">
        <v>89</v>
      </c>
      <c r="C20" s="63"/>
      <c r="D20" s="63"/>
      <c r="E20" s="39"/>
      <c r="F20" s="39"/>
      <c r="G20" s="39"/>
      <c r="H20" s="39"/>
      <c r="I20" s="64"/>
      <c r="J20" s="26"/>
      <c r="K20" s="26"/>
      <c r="L20" s="26"/>
      <c r="M20" s="26"/>
      <c r="N20" s="26"/>
      <c r="O20" s="26"/>
      <c r="P20" s="26"/>
      <c r="Q20" s="26"/>
      <c r="R20" s="26"/>
      <c r="S20" s="114"/>
      <c r="T20" s="72"/>
      <c r="U20" s="79"/>
      <c r="V20" s="72"/>
      <c r="W20" s="72"/>
      <c r="X20" s="175"/>
      <c r="Y20" s="148"/>
      <c r="Z20" s="193"/>
      <c r="AA20" s="143"/>
      <c r="AB20" s="148"/>
      <c r="AC20" s="134"/>
      <c r="AD20" s="134"/>
      <c r="AE20" s="138"/>
      <c r="AF20" s="97"/>
      <c r="AG20" s="195"/>
      <c r="AH20" s="152">
        <v>44000</v>
      </c>
      <c r="AI20" s="264"/>
      <c r="AJ20" s="152">
        <f>SUM(AE20:AI20)</f>
        <v>44000</v>
      </c>
      <c r="AK20" s="137"/>
      <c r="AL20" s="197"/>
      <c r="AM20" s="103"/>
      <c r="AN20" s="143"/>
      <c r="AO20" s="103"/>
      <c r="AP20" s="246"/>
      <c r="AQ20" s="137"/>
      <c r="AR20" s="139"/>
      <c r="AS20" s="139"/>
      <c r="AT20" s="245"/>
      <c r="AU20" s="257"/>
      <c r="AV20" s="247"/>
      <c r="AW20" s="137"/>
      <c r="AX20" s="139"/>
      <c r="AY20" s="139"/>
      <c r="AZ20" s="139"/>
      <c r="BA20" s="139"/>
      <c r="BB20" s="139"/>
      <c r="BC20" s="139"/>
      <c r="BD20" s="137"/>
      <c r="BE20" s="134"/>
      <c r="BF20" s="134"/>
      <c r="BG20" s="134"/>
      <c r="BH20" s="134"/>
      <c r="BI20" s="139"/>
      <c r="BJ20" s="60"/>
      <c r="BK20" s="139">
        <f t="shared" si="21"/>
        <v>0</v>
      </c>
      <c r="BL20" s="139">
        <f t="shared" si="21"/>
        <v>0</v>
      </c>
      <c r="BM20" s="139">
        <f>I20</f>
        <v>0</v>
      </c>
      <c r="BN20" s="134">
        <f>N20</f>
        <v>0</v>
      </c>
      <c r="BO20" s="134">
        <f>SUM(O20:S20)</f>
        <v>0</v>
      </c>
      <c r="BP20" s="134">
        <f>SUM(U20:X20)</f>
        <v>0</v>
      </c>
      <c r="BQ20" s="134">
        <f>SUM(Z20:AC20)</f>
        <v>0</v>
      </c>
      <c r="BR20" s="134">
        <f>AE20</f>
        <v>0</v>
      </c>
      <c r="BS20" s="134">
        <v>50000</v>
      </c>
      <c r="BT20" s="134">
        <f t="shared" si="22"/>
        <v>0</v>
      </c>
      <c r="BU20" s="134">
        <f t="shared" si="22"/>
        <v>0</v>
      </c>
      <c r="BV20" s="134">
        <f t="shared" si="22"/>
        <v>0</v>
      </c>
      <c r="BX20" s="60"/>
    </row>
    <row r="21" spans="1:76" s="42" customFormat="1" x14ac:dyDescent="0.4">
      <c r="A21" s="24"/>
      <c r="B21" s="22" t="s">
        <v>90</v>
      </c>
      <c r="C21" s="63"/>
      <c r="D21" s="63"/>
      <c r="E21" s="39"/>
      <c r="F21" s="68"/>
      <c r="G21" s="60"/>
      <c r="H21" s="63"/>
      <c r="I21" s="64"/>
      <c r="J21" s="26"/>
      <c r="K21" s="26"/>
      <c r="L21" s="26"/>
      <c r="M21" s="26"/>
      <c r="N21" s="26"/>
      <c r="O21" s="26"/>
      <c r="P21" s="26"/>
      <c r="Q21" s="26"/>
      <c r="R21" s="108"/>
      <c r="S21" s="95"/>
      <c r="T21" s="103"/>
      <c r="U21" s="230"/>
      <c r="V21" s="103"/>
      <c r="W21" s="214"/>
      <c r="X21" s="172"/>
      <c r="Y21" s="148"/>
      <c r="Z21" s="120"/>
      <c r="AA21" s="103"/>
      <c r="AB21" s="231"/>
      <c r="AC21" s="150"/>
      <c r="AD21" s="134"/>
      <c r="AE21" s="145"/>
      <c r="AF21" s="153"/>
      <c r="AG21" s="254">
        <f>110000+14000</f>
        <v>124000</v>
      </c>
      <c r="AH21" s="103"/>
      <c r="AI21" s="264"/>
      <c r="AJ21" s="152">
        <f>SUM(AE21:AI21)</f>
        <v>124000</v>
      </c>
      <c r="AK21" s="137"/>
      <c r="AL21" s="197"/>
      <c r="AM21" s="143"/>
      <c r="AN21" s="143"/>
      <c r="AO21" s="112"/>
      <c r="AP21" s="148"/>
      <c r="AQ21" s="137"/>
      <c r="AR21" s="139"/>
      <c r="AS21" s="139"/>
      <c r="AT21" s="139"/>
      <c r="AU21" s="139"/>
      <c r="AV21" s="139"/>
      <c r="AW21" s="137"/>
      <c r="AX21" s="139"/>
      <c r="AY21" s="139"/>
      <c r="AZ21" s="139"/>
      <c r="BA21" s="139"/>
      <c r="BB21" s="139"/>
      <c r="BC21" s="139"/>
      <c r="BD21" s="137"/>
      <c r="BE21" s="134">
        <v>30000</v>
      </c>
      <c r="BF21" s="134"/>
      <c r="BG21" s="134"/>
      <c r="BH21" s="134"/>
      <c r="BI21" s="139"/>
      <c r="BJ21" s="60"/>
      <c r="BK21" s="139"/>
      <c r="BL21" s="139"/>
      <c r="BM21" s="139"/>
      <c r="BN21" s="134"/>
      <c r="BO21" s="134"/>
      <c r="BP21" s="134"/>
      <c r="BQ21" s="134"/>
      <c r="BR21" s="134">
        <f>AG21</f>
        <v>124000</v>
      </c>
      <c r="BS21" s="134"/>
      <c r="BT21" s="134"/>
      <c r="BU21" s="134"/>
      <c r="BV21" s="134"/>
      <c r="BX21" s="60"/>
    </row>
    <row r="22" spans="1:76" s="42" customFormat="1" ht="17.7" customHeight="1" x14ac:dyDescent="0.4">
      <c r="A22" s="21"/>
      <c r="B22" s="25" t="s">
        <v>91</v>
      </c>
      <c r="C22" s="63"/>
      <c r="D22" s="63"/>
      <c r="E22" s="39"/>
      <c r="F22" s="39"/>
      <c r="G22" s="39"/>
      <c r="H22" s="39"/>
      <c r="I22" s="64"/>
      <c r="J22" s="26"/>
      <c r="K22" s="26"/>
      <c r="L22" s="64">
        <v>25000</v>
      </c>
      <c r="M22" s="26"/>
      <c r="N22" s="64">
        <v>25000</v>
      </c>
      <c r="O22" s="26"/>
      <c r="P22" s="26"/>
      <c r="Q22" s="26"/>
      <c r="R22" s="26"/>
      <c r="S22" s="26"/>
      <c r="T22" s="26"/>
      <c r="U22" s="26"/>
      <c r="V22" s="26"/>
      <c r="X22" s="134"/>
      <c r="Y22" s="134"/>
      <c r="Z22" s="134"/>
      <c r="AA22" s="197"/>
      <c r="AB22" s="103"/>
      <c r="AC22" s="148"/>
      <c r="AD22" s="134"/>
      <c r="AE22" s="49"/>
      <c r="AF22" s="134"/>
      <c r="AG22" s="153"/>
      <c r="AH22" s="143"/>
      <c r="AI22" s="264"/>
      <c r="AJ22" s="143"/>
      <c r="AK22" s="137"/>
      <c r="AL22" s="107"/>
      <c r="AM22" s="120"/>
      <c r="AN22" s="152">
        <v>25000</v>
      </c>
      <c r="AO22" s="103"/>
      <c r="AP22" s="148"/>
      <c r="AQ22" s="137"/>
      <c r="AR22" s="139"/>
      <c r="AS22" s="139"/>
      <c r="AT22" s="139"/>
      <c r="AU22" s="139"/>
      <c r="AV22" s="134"/>
      <c r="AW22" s="137"/>
      <c r="AX22" s="139"/>
      <c r="AY22" s="139"/>
      <c r="AZ22" s="139"/>
      <c r="BA22" s="139"/>
      <c r="BB22" s="139"/>
      <c r="BC22" s="139"/>
      <c r="BD22" s="137"/>
      <c r="BE22" s="68"/>
      <c r="BF22" s="68"/>
      <c r="BG22" s="68"/>
      <c r="BH22" s="68"/>
      <c r="BI22" s="139"/>
      <c r="BJ22" s="60"/>
      <c r="BK22" s="139">
        <f t="shared" ref="BK22:BL22" si="23">C22</f>
        <v>0</v>
      </c>
      <c r="BL22" s="139">
        <f t="shared" si="23"/>
        <v>0</v>
      </c>
      <c r="BM22" s="139">
        <f t="shared" ref="BM22:BM23" si="24">I22</f>
        <v>0</v>
      </c>
      <c r="BN22" s="269">
        <v>25000</v>
      </c>
      <c r="BO22" s="134">
        <v>25000</v>
      </c>
      <c r="BP22" s="134">
        <f t="shared" ref="BP22" si="25">SUM(U22:X22)</f>
        <v>0</v>
      </c>
      <c r="BQ22" s="134">
        <f>SUM(Z22:AC22)</f>
        <v>0</v>
      </c>
      <c r="BR22" s="134">
        <f>AV22</f>
        <v>0</v>
      </c>
      <c r="BS22" s="134">
        <f>AP22</f>
        <v>0</v>
      </c>
      <c r="BT22" s="134">
        <v>25000</v>
      </c>
      <c r="BU22" s="134"/>
      <c r="BV22" s="134">
        <f t="shared" ref="BT22:BV23" si="26">AS22</f>
        <v>0</v>
      </c>
      <c r="BX22" s="60"/>
    </row>
    <row r="23" spans="1:76" s="42" customFormat="1" x14ac:dyDescent="0.4">
      <c r="A23" s="21"/>
      <c r="B23" s="25" t="s">
        <v>92</v>
      </c>
      <c r="C23" s="63"/>
      <c r="D23" s="63"/>
      <c r="E23" s="39"/>
      <c r="F23" s="39"/>
      <c r="G23" s="73"/>
      <c r="H23" s="74"/>
      <c r="I23" s="75"/>
      <c r="J23" s="75"/>
      <c r="K23" s="75"/>
      <c r="L23" s="75"/>
      <c r="M23" s="75"/>
      <c r="N23" s="75"/>
      <c r="O23" s="106"/>
      <c r="P23" s="81"/>
      <c r="Q23" s="61"/>
      <c r="R23" s="120"/>
      <c r="S23" s="103"/>
      <c r="T23" s="198"/>
      <c r="U23" s="120"/>
      <c r="V23" s="120"/>
      <c r="W23" s="120"/>
      <c r="X23" s="103"/>
      <c r="Y23" s="76"/>
      <c r="Z23" s="152">
        <v>253000</v>
      </c>
      <c r="AA23" s="76"/>
      <c r="AB23" s="26"/>
      <c r="AC23" s="134"/>
      <c r="AD23" s="152">
        <f>SUM(Z23:AC23)</f>
        <v>253000</v>
      </c>
      <c r="AE23" s="134"/>
      <c r="AF23" s="134"/>
      <c r="AG23" s="197"/>
      <c r="AH23" s="143"/>
      <c r="AI23" s="264"/>
      <c r="AJ23" s="72"/>
      <c r="AK23" s="137"/>
      <c r="AL23" s="197"/>
      <c r="AM23" s="143"/>
      <c r="AN23" s="148"/>
      <c r="AO23" s="134"/>
      <c r="AP23" s="134"/>
      <c r="AQ23" s="137"/>
      <c r="AR23" s="139"/>
      <c r="AS23" s="139"/>
      <c r="AT23" s="139"/>
      <c r="AU23" s="139"/>
      <c r="AV23" s="139"/>
      <c r="AW23" s="137"/>
      <c r="AX23" s="139"/>
      <c r="AY23" s="139"/>
      <c r="AZ23" s="139"/>
      <c r="BA23" s="139"/>
      <c r="BB23" s="139"/>
      <c r="BC23" s="139"/>
      <c r="BD23" s="137"/>
      <c r="BE23" s="134"/>
      <c r="BF23" s="134"/>
      <c r="BG23" s="134"/>
      <c r="BH23" s="134"/>
      <c r="BI23" s="139"/>
      <c r="BJ23" s="60"/>
      <c r="BK23" s="139">
        <f>C23</f>
        <v>0</v>
      </c>
      <c r="BL23" s="139">
        <f t="shared" ref="BL23" si="27">D23</f>
        <v>0</v>
      </c>
      <c r="BM23" s="139">
        <f t="shared" si="24"/>
        <v>0</v>
      </c>
      <c r="BN23" s="134">
        <f>N23</f>
        <v>0</v>
      </c>
      <c r="BO23" s="134">
        <f t="shared" ref="BO23" si="28">SUM(O23:S23)</f>
        <v>0</v>
      </c>
      <c r="BP23" s="134"/>
      <c r="BQ23" s="134">
        <f>SUM(Z23:AC23)</f>
        <v>253000</v>
      </c>
      <c r="BR23" s="134">
        <f>AE23</f>
        <v>0</v>
      </c>
      <c r="BS23" s="134">
        <f t="shared" ref="BS23" si="29">AP23</f>
        <v>0</v>
      </c>
      <c r="BT23" s="134">
        <f t="shared" si="26"/>
        <v>0</v>
      </c>
      <c r="BU23" s="134">
        <f t="shared" si="26"/>
        <v>0</v>
      </c>
      <c r="BV23" s="134">
        <f t="shared" si="26"/>
        <v>0</v>
      </c>
      <c r="BX23" s="60"/>
    </row>
    <row r="24" spans="1:76" s="42" customFormat="1" x14ac:dyDescent="0.4">
      <c r="A24" s="21"/>
      <c r="B24" s="25" t="s">
        <v>93</v>
      </c>
      <c r="C24" s="63"/>
      <c r="D24" s="63"/>
      <c r="E24" s="39"/>
      <c r="F24" s="39"/>
      <c r="G24" s="39"/>
      <c r="H24" s="39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69"/>
      <c r="X24" s="26"/>
      <c r="Y24" s="26"/>
      <c r="Z24" s="26"/>
      <c r="AA24" s="64">
        <v>50000</v>
      </c>
      <c r="AB24" s="49"/>
      <c r="AC24" s="161"/>
      <c r="AD24" s="64">
        <f>SUM(Z24:AC24)</f>
        <v>50000</v>
      </c>
      <c r="AE24" s="145"/>
      <c r="AF24" s="134"/>
      <c r="AG24" s="197"/>
      <c r="AH24" s="143"/>
      <c r="AI24" s="264"/>
      <c r="AJ24" s="72"/>
      <c r="AK24" s="137"/>
      <c r="AL24" s="197"/>
      <c r="AM24" s="143"/>
      <c r="AN24" s="148"/>
      <c r="AO24" s="134"/>
      <c r="AP24" s="49"/>
      <c r="AQ24" s="137"/>
      <c r="AR24" s="139"/>
      <c r="AS24" s="139"/>
      <c r="AT24" s="152">
        <v>150000</v>
      </c>
      <c r="AU24" s="49"/>
      <c r="AV24" s="49"/>
      <c r="AW24" s="137"/>
      <c r="AX24" s="134"/>
      <c r="AY24" s="134"/>
      <c r="AZ24" s="134"/>
      <c r="BA24" s="197"/>
      <c r="BB24" s="134"/>
      <c r="BC24" s="139"/>
      <c r="BD24" s="137"/>
      <c r="BE24" s="134"/>
      <c r="BF24" s="134"/>
      <c r="BG24" s="197"/>
      <c r="BH24" s="143"/>
      <c r="BI24" s="247"/>
      <c r="BJ24" s="60"/>
      <c r="BK24" s="139">
        <f>C24</f>
        <v>0</v>
      </c>
      <c r="BL24" s="139">
        <f>D24</f>
        <v>0</v>
      </c>
      <c r="BM24" s="139">
        <f t="shared" ref="BM24" si="30">I24</f>
        <v>0</v>
      </c>
      <c r="BN24" s="134">
        <f t="shared" ref="BN24" si="31">N24</f>
        <v>0</v>
      </c>
      <c r="BO24" s="134">
        <f t="shared" ref="BO24" si="32">SUM(O24:S24)</f>
        <v>0</v>
      </c>
      <c r="BP24" s="134">
        <f>SUM(U24:X24)</f>
        <v>0</v>
      </c>
      <c r="BQ24" s="134"/>
      <c r="BR24" s="134">
        <f>AE24</f>
        <v>0</v>
      </c>
      <c r="BS24" s="134">
        <f>AL24</f>
        <v>0</v>
      </c>
      <c r="BT24" s="134">
        <f>AT24</f>
        <v>150000</v>
      </c>
      <c r="BU24" s="134">
        <f t="shared" ref="BU24:BV24" si="33">AN24</f>
        <v>0</v>
      </c>
      <c r="BV24" s="134">
        <f t="shared" si="33"/>
        <v>0</v>
      </c>
      <c r="BX24" s="60"/>
    </row>
    <row r="25" spans="1:76" s="42" customFormat="1" x14ac:dyDescent="0.4">
      <c r="A25" s="21"/>
      <c r="B25" s="25"/>
      <c r="C25" s="63"/>
      <c r="D25" s="63"/>
      <c r="E25" s="39"/>
      <c r="F25" s="39"/>
      <c r="G25" s="66"/>
      <c r="H25" s="39"/>
      <c r="I25" s="64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45"/>
      <c r="AI25" s="197"/>
      <c r="AJ25" s="143"/>
      <c r="AK25" s="137"/>
      <c r="AL25" s="134"/>
      <c r="AM25" s="145"/>
      <c r="AN25" s="134"/>
      <c r="AO25" s="134"/>
      <c r="AP25" s="134"/>
      <c r="AQ25" s="137"/>
      <c r="AR25" s="139"/>
      <c r="AS25" s="139"/>
      <c r="AT25" s="139"/>
      <c r="AU25" s="139"/>
      <c r="AV25" s="139"/>
      <c r="AW25" s="137"/>
      <c r="AX25" s="134"/>
      <c r="AY25" s="134"/>
      <c r="AZ25" s="134"/>
      <c r="BA25" s="197"/>
      <c r="BB25" s="134"/>
      <c r="BC25" s="139"/>
      <c r="BD25" s="137"/>
      <c r="BE25" s="134"/>
      <c r="BF25" s="134"/>
      <c r="BG25" s="197"/>
      <c r="BH25" s="143"/>
      <c r="BI25" s="247"/>
      <c r="BJ25" s="60"/>
      <c r="BK25" s="139"/>
      <c r="BL25" s="139"/>
      <c r="BM25" s="139"/>
      <c r="BN25" s="134">
        <f>N25</f>
        <v>0</v>
      </c>
      <c r="BO25" s="134">
        <f>SUM(O25:S25)</f>
        <v>0</v>
      </c>
      <c r="BP25" s="134">
        <f>SUM(U25:X25)</f>
        <v>0</v>
      </c>
      <c r="BQ25" s="134">
        <f>SUM(Z25:AC25)</f>
        <v>0</v>
      </c>
      <c r="BR25" s="134">
        <f>AE25</f>
        <v>0</v>
      </c>
      <c r="BS25" s="134">
        <f>AP25</f>
        <v>0</v>
      </c>
      <c r="BT25" s="134">
        <f t="shared" ref="BT25:BV25" si="34">AQ25</f>
        <v>0</v>
      </c>
      <c r="BU25" s="134">
        <f t="shared" si="34"/>
        <v>0</v>
      </c>
      <c r="BV25" s="134">
        <f t="shared" si="34"/>
        <v>0</v>
      </c>
    </row>
    <row r="26" spans="1:76" s="42" customFormat="1" x14ac:dyDescent="0.4">
      <c r="A26" s="21"/>
      <c r="B26" s="25" t="s">
        <v>30</v>
      </c>
      <c r="C26" s="63"/>
      <c r="D26" s="63"/>
      <c r="E26" s="39"/>
      <c r="F26" s="39"/>
      <c r="G26" s="66"/>
      <c r="H26" s="39"/>
      <c r="I26" s="64"/>
      <c r="J26" s="26"/>
      <c r="K26" s="26"/>
      <c r="L26" s="26"/>
      <c r="M26" s="26"/>
      <c r="N26" s="26"/>
      <c r="O26" s="26"/>
      <c r="P26" s="26"/>
      <c r="Q26" s="26"/>
      <c r="R26" s="26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97"/>
      <c r="AJ26" s="143"/>
      <c r="AK26" s="137"/>
      <c r="AL26" s="134"/>
      <c r="AM26" s="134"/>
      <c r="AN26" s="134"/>
      <c r="AO26" s="134"/>
      <c r="AP26" s="49"/>
      <c r="AQ26" s="137"/>
      <c r="AR26" s="139"/>
      <c r="AS26" s="139"/>
      <c r="AT26" s="139"/>
      <c r="AU26" s="139"/>
      <c r="AV26" s="139"/>
      <c r="AW26" s="137"/>
      <c r="AX26" s="134"/>
      <c r="AY26" s="134"/>
      <c r="AZ26" s="134"/>
      <c r="BA26" s="197"/>
      <c r="BB26" s="134"/>
      <c r="BC26" s="139"/>
      <c r="BD26" s="137"/>
      <c r="BE26" s="134"/>
      <c r="BF26" s="134"/>
      <c r="BG26" s="134"/>
      <c r="BH26" s="151">
        <v>-20000</v>
      </c>
      <c r="BI26" s="49"/>
      <c r="BJ26" s="60"/>
      <c r="BK26" s="139"/>
      <c r="BL26" s="139"/>
      <c r="BM26" s="139">
        <f>BH26</f>
        <v>-20000</v>
      </c>
      <c r="BN26" s="134">
        <f>N26</f>
        <v>0</v>
      </c>
      <c r="BO26" s="134">
        <f>SUM(O26:S26)</f>
        <v>0</v>
      </c>
      <c r="BP26" s="134">
        <f>BM26</f>
        <v>-20000</v>
      </c>
      <c r="BQ26" s="134">
        <f>SUM(Z26:AC26)</f>
        <v>0</v>
      </c>
      <c r="BR26" s="134">
        <f>AE26</f>
        <v>0</v>
      </c>
      <c r="BS26" s="134">
        <f>BP26</f>
        <v>-20000</v>
      </c>
      <c r="BT26" s="134">
        <f t="shared" ref="BT26:BU26" si="35">AP26</f>
        <v>0</v>
      </c>
      <c r="BU26" s="134">
        <f t="shared" si="35"/>
        <v>0</v>
      </c>
      <c r="BV26" s="134">
        <f>BS26</f>
        <v>-20000</v>
      </c>
    </row>
    <row r="27" spans="1:76" s="42" customFormat="1" x14ac:dyDescent="0.4">
      <c r="A27" s="21"/>
      <c r="B27" s="25" t="s">
        <v>31</v>
      </c>
      <c r="C27" s="63"/>
      <c r="D27" s="63"/>
      <c r="E27" s="39"/>
      <c r="F27" s="39"/>
      <c r="G27" s="39"/>
      <c r="H27" s="39"/>
      <c r="I27" s="64"/>
      <c r="J27" s="26"/>
      <c r="K27" s="26"/>
      <c r="L27" s="26"/>
      <c r="M27" s="26"/>
      <c r="N27" s="26"/>
      <c r="O27" s="26"/>
      <c r="P27" s="26"/>
      <c r="Q27" s="26"/>
      <c r="R27" s="26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97"/>
      <c r="AJ27" s="143"/>
      <c r="AK27" s="137"/>
      <c r="AL27" s="134"/>
      <c r="AM27" s="134"/>
      <c r="AN27" s="134"/>
      <c r="AO27" s="134"/>
      <c r="AP27" s="49"/>
      <c r="AQ27" s="137"/>
      <c r="AR27" s="139"/>
      <c r="AS27" s="139"/>
      <c r="AT27" s="139"/>
      <c r="AU27" s="139"/>
      <c r="AV27" s="49"/>
      <c r="AW27" s="137"/>
      <c r="AX27" s="134"/>
      <c r="AY27" s="134"/>
      <c r="AZ27" s="134"/>
      <c r="BA27" s="134"/>
      <c r="BB27" s="139">
        <v>10000</v>
      </c>
      <c r="BC27" s="49"/>
      <c r="BD27" s="137"/>
      <c r="BE27" s="134"/>
      <c r="BF27" s="134"/>
      <c r="BG27" s="134"/>
      <c r="BH27" s="139">
        <v>30000</v>
      </c>
      <c r="BI27" s="49"/>
      <c r="BJ27" s="60"/>
      <c r="BK27" s="139">
        <v>10000</v>
      </c>
      <c r="BL27" s="139">
        <f t="shared" ref="BL27" si="36">+BK27</f>
        <v>10000</v>
      </c>
      <c r="BM27" s="139">
        <v>30000</v>
      </c>
      <c r="BN27" s="134">
        <v>10000</v>
      </c>
      <c r="BO27" s="134">
        <v>10000</v>
      </c>
      <c r="BP27" s="134">
        <v>30000</v>
      </c>
      <c r="BQ27" s="134">
        <f>BN27</f>
        <v>10000</v>
      </c>
      <c r="BR27" s="134">
        <f>BO27</f>
        <v>10000</v>
      </c>
      <c r="BS27" s="134">
        <f>BP27</f>
        <v>30000</v>
      </c>
      <c r="BT27" s="134">
        <f>BQ27</f>
        <v>10000</v>
      </c>
      <c r="BU27" s="134">
        <f>BR27</f>
        <v>10000</v>
      </c>
      <c r="BV27" s="134">
        <f>BS27</f>
        <v>30000</v>
      </c>
    </row>
    <row r="28" spans="1:76" s="42" customFormat="1" x14ac:dyDescent="0.4">
      <c r="A28" s="21"/>
      <c r="B28" s="22"/>
      <c r="C28" s="63"/>
      <c r="D28" s="63"/>
      <c r="E28" s="39"/>
      <c r="F28" s="39"/>
      <c r="G28" s="39"/>
      <c r="H28" s="39"/>
      <c r="I28" s="64"/>
      <c r="J28" s="26"/>
      <c r="K28" s="26"/>
      <c r="L28" s="26"/>
      <c r="M28" s="26"/>
      <c r="N28" s="26"/>
      <c r="O28" s="26"/>
      <c r="P28" s="26"/>
      <c r="Q28" s="26"/>
      <c r="R28" s="26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97"/>
      <c r="AJ28" s="143"/>
      <c r="AK28" s="137"/>
      <c r="AL28" s="134"/>
      <c r="AM28" s="134"/>
      <c r="AN28" s="134"/>
      <c r="AO28" s="134"/>
      <c r="AP28" s="134"/>
      <c r="AQ28" s="137"/>
      <c r="AR28" s="139"/>
      <c r="AS28" s="139"/>
      <c r="AT28" s="139"/>
      <c r="AU28" s="139"/>
      <c r="AV28" s="139"/>
      <c r="AW28" s="137"/>
      <c r="AX28" s="134"/>
      <c r="AY28" s="134"/>
      <c r="AZ28" s="134"/>
      <c r="BA28" s="134"/>
      <c r="BB28" s="134"/>
      <c r="BC28" s="139"/>
      <c r="BD28" s="137"/>
      <c r="BE28" s="134"/>
      <c r="BF28" s="134"/>
      <c r="BG28" s="134"/>
      <c r="BH28" s="134"/>
      <c r="BI28" s="139"/>
      <c r="BJ28" s="60"/>
      <c r="BK28" s="139"/>
      <c r="BL28" s="139"/>
      <c r="BM28" s="139"/>
      <c r="BN28" s="134">
        <f>N28</f>
        <v>0</v>
      </c>
      <c r="BO28" s="134">
        <f>SUM(O28:S28)</f>
        <v>0</v>
      </c>
      <c r="BP28" s="134">
        <f>SUM(U28:X28)</f>
        <v>0</v>
      </c>
      <c r="BQ28" s="134">
        <f>SUM(Z28:AC28)</f>
        <v>0</v>
      </c>
      <c r="BR28" s="134">
        <f>AE28</f>
        <v>0</v>
      </c>
      <c r="BS28" s="134">
        <f>AP28</f>
        <v>0</v>
      </c>
      <c r="BT28" s="134">
        <f t="shared" ref="BT28:BV28" si="37">AQ28</f>
        <v>0</v>
      </c>
      <c r="BU28" s="134">
        <f t="shared" si="37"/>
        <v>0</v>
      </c>
      <c r="BV28" s="134">
        <f t="shared" si="37"/>
        <v>0</v>
      </c>
    </row>
    <row r="29" spans="1:76" s="42" customFormat="1" x14ac:dyDescent="0.4">
      <c r="A29" s="21"/>
      <c r="B29" s="22" t="s">
        <v>32</v>
      </c>
      <c r="C29" s="63">
        <v>200000</v>
      </c>
      <c r="D29" s="63">
        <v>100000</v>
      </c>
      <c r="E29" s="63"/>
      <c r="F29" s="63"/>
      <c r="G29" s="39"/>
      <c r="H29" s="39"/>
      <c r="I29" s="64">
        <v>200000</v>
      </c>
      <c r="J29" s="26"/>
      <c r="K29" s="63"/>
      <c r="L29" s="26"/>
      <c r="M29" s="26"/>
      <c r="N29" s="63">
        <v>200000</v>
      </c>
      <c r="O29" s="64"/>
      <c r="P29" s="64"/>
      <c r="Q29" s="64"/>
      <c r="R29" s="26"/>
      <c r="S29" s="134"/>
      <c r="T29" s="64">
        <v>100000</v>
      </c>
      <c r="U29" s="63"/>
      <c r="V29" s="134"/>
      <c r="W29" s="134"/>
      <c r="X29" s="134"/>
      <c r="Y29" s="152">
        <v>200000</v>
      </c>
      <c r="Z29" s="134"/>
      <c r="AA29" s="134"/>
      <c r="AB29" s="134"/>
      <c r="AC29" s="134"/>
      <c r="AD29" s="134"/>
      <c r="AE29" s="134"/>
      <c r="AF29" s="134"/>
      <c r="AG29" s="134"/>
      <c r="AH29" s="134"/>
      <c r="AI29" s="197"/>
      <c r="AJ29" s="143"/>
      <c r="AK29" s="137"/>
      <c r="AL29" s="134"/>
      <c r="AM29" s="152">
        <v>100000</v>
      </c>
      <c r="AN29" s="152">
        <v>100000</v>
      </c>
      <c r="AO29" s="134"/>
      <c r="AP29" s="134"/>
      <c r="AQ29" s="137"/>
      <c r="AR29" s="139"/>
      <c r="AS29" s="139"/>
      <c r="AT29" s="139"/>
      <c r="AU29" s="139"/>
      <c r="AV29" s="139"/>
      <c r="AW29" s="137"/>
      <c r="AX29" s="134"/>
      <c r="AY29" s="134"/>
      <c r="AZ29" s="134">
        <v>150000</v>
      </c>
      <c r="BA29" s="134"/>
      <c r="BB29" s="134"/>
      <c r="BC29" s="139"/>
      <c r="BD29" s="137"/>
      <c r="BE29" s="134"/>
      <c r="BF29" s="134">
        <v>200000</v>
      </c>
      <c r="BG29" s="134"/>
      <c r="BH29" s="134"/>
      <c r="BI29" s="139"/>
      <c r="BJ29" s="60"/>
      <c r="BK29" s="139">
        <v>200000</v>
      </c>
      <c r="BL29" s="139">
        <v>400000</v>
      </c>
      <c r="BM29" s="139">
        <v>100000</v>
      </c>
      <c r="BN29" s="134">
        <v>200000</v>
      </c>
      <c r="BO29" s="134">
        <v>200000</v>
      </c>
      <c r="BP29" s="134">
        <v>10000</v>
      </c>
      <c r="BQ29" s="134"/>
      <c r="BR29" s="134"/>
      <c r="BS29" s="134"/>
      <c r="BT29" s="134"/>
      <c r="BU29" s="134"/>
      <c r="BV29" s="134"/>
    </row>
    <row r="30" spans="1:76" s="42" customFormat="1" x14ac:dyDescent="0.4">
      <c r="A30" s="21"/>
      <c r="B30" s="22"/>
      <c r="C30" s="63"/>
      <c r="D30" s="63"/>
      <c r="E30" s="39"/>
      <c r="F30" s="39"/>
      <c r="G30" s="39"/>
      <c r="H30" s="39"/>
      <c r="I30" s="64"/>
      <c r="J30" s="26"/>
      <c r="K30" s="26"/>
      <c r="L30" s="26"/>
      <c r="M30" s="26"/>
      <c r="N30" s="26"/>
      <c r="O30" s="26"/>
      <c r="P30" s="26"/>
      <c r="Q30" s="26"/>
      <c r="R30" s="69"/>
      <c r="S30" s="138"/>
      <c r="T30" s="138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97"/>
      <c r="AJ30" s="143"/>
      <c r="AK30" s="137"/>
      <c r="AL30" s="134"/>
      <c r="AM30" s="134"/>
      <c r="AN30" s="134"/>
      <c r="AO30" s="134"/>
      <c r="AP30" s="134"/>
      <c r="AQ30" s="137"/>
      <c r="AR30" s="139"/>
      <c r="AS30" s="139"/>
      <c r="AT30" s="139"/>
      <c r="AU30" s="139"/>
      <c r="AV30" s="139"/>
      <c r="AW30" s="137"/>
      <c r="AX30" s="134"/>
      <c r="AY30" s="134"/>
      <c r="AZ30" s="134"/>
      <c r="BA30" s="134"/>
      <c r="BB30" s="134"/>
      <c r="BC30" s="139"/>
      <c r="BD30" s="137"/>
      <c r="BE30" s="134"/>
      <c r="BF30" s="134"/>
      <c r="BG30" s="134"/>
      <c r="BH30" s="134"/>
      <c r="BI30" s="139"/>
      <c r="BJ30" s="60"/>
      <c r="BK30" s="139"/>
      <c r="BL30" s="139"/>
      <c r="BM30" s="139"/>
      <c r="BN30" s="134">
        <f>N30</f>
        <v>0</v>
      </c>
      <c r="BO30" s="134">
        <f>SUM(O30:S30)</f>
        <v>0</v>
      </c>
      <c r="BP30" s="134">
        <f>SUM(U30:X30)</f>
        <v>0</v>
      </c>
      <c r="BQ30" s="134">
        <f>SUM(Z30:AC30)</f>
        <v>0</v>
      </c>
      <c r="BR30" s="134">
        <f>AE30</f>
        <v>0</v>
      </c>
      <c r="BS30" s="134">
        <f>AP30</f>
        <v>0</v>
      </c>
      <c r="BT30" s="134">
        <f t="shared" ref="BT30:BV32" si="38">AQ30</f>
        <v>0</v>
      </c>
      <c r="BU30" s="134">
        <f t="shared" si="38"/>
        <v>0</v>
      </c>
      <c r="BV30" s="134">
        <f t="shared" si="38"/>
        <v>0</v>
      </c>
    </row>
    <row r="31" spans="1:76" s="42" customFormat="1" x14ac:dyDescent="0.4">
      <c r="A31" s="21"/>
      <c r="B31" s="22" t="s">
        <v>33</v>
      </c>
      <c r="C31" s="63">
        <f>30+13.8</f>
        <v>43.8</v>
      </c>
      <c r="D31" s="63">
        <f>25+2500</f>
        <v>2525</v>
      </c>
      <c r="E31" s="63"/>
      <c r="F31" s="39"/>
      <c r="G31" s="39"/>
      <c r="H31" s="39"/>
      <c r="I31" s="64"/>
      <c r="J31" s="64">
        <v>17</v>
      </c>
      <c r="K31" s="26"/>
      <c r="L31" s="64">
        <v>20</v>
      </c>
      <c r="M31" s="64">
        <v>1040.1400000000001</v>
      </c>
      <c r="N31" s="64">
        <v>1077.1400000000001</v>
      </c>
      <c r="O31" s="26"/>
      <c r="P31" s="26"/>
      <c r="Q31" s="169">
        <v>1014.14</v>
      </c>
      <c r="R31" s="103"/>
      <c r="S31" s="152">
        <v>26</v>
      </c>
      <c r="T31" s="152">
        <f>SUM(O31:S31)</f>
        <v>1040.1399999999999</v>
      </c>
      <c r="U31" s="152">
        <v>300</v>
      </c>
      <c r="V31" s="134"/>
      <c r="W31" s="134"/>
      <c r="X31" s="134"/>
      <c r="Y31" s="152">
        <f>SUM(U31:X31)</f>
        <v>300</v>
      </c>
      <c r="Z31" s="134"/>
      <c r="AA31" s="134"/>
      <c r="AB31" s="134"/>
      <c r="AC31" s="152">
        <f>50.58+40</f>
        <v>90.58</v>
      </c>
      <c r="AD31" s="152">
        <f>SUM(Z31:AC31)</f>
        <v>90.58</v>
      </c>
      <c r="AE31" s="134"/>
      <c r="AF31" s="134"/>
      <c r="AG31" s="134"/>
      <c r="AH31" s="134"/>
      <c r="AI31" s="197"/>
      <c r="AJ31" s="143"/>
      <c r="AK31" s="137"/>
      <c r="AL31" s="134"/>
      <c r="AM31" s="134"/>
      <c r="AN31" s="134"/>
      <c r="AO31" s="134"/>
      <c r="AP31" s="134"/>
      <c r="AQ31" s="137"/>
      <c r="AR31" s="139"/>
      <c r="AS31" s="139"/>
      <c r="AT31" s="139"/>
      <c r="AU31" s="139"/>
      <c r="AV31" s="139"/>
      <c r="AW31" s="137"/>
      <c r="AX31" s="134"/>
      <c r="AY31" s="134"/>
      <c r="AZ31" s="134"/>
      <c r="BA31" s="134"/>
      <c r="BB31" s="134"/>
      <c r="BC31" s="139"/>
      <c r="BD31" s="137"/>
      <c r="BE31" s="134"/>
      <c r="BF31" s="134"/>
      <c r="BG31" s="134"/>
      <c r="BH31" s="134"/>
      <c r="BI31" s="139"/>
      <c r="BJ31" s="60"/>
      <c r="BK31" s="139"/>
      <c r="BL31" s="139"/>
      <c r="BM31" s="139"/>
      <c r="BN31" s="134"/>
      <c r="BO31" s="134"/>
      <c r="BP31" s="134"/>
      <c r="BQ31" s="134"/>
      <c r="BR31" s="134"/>
      <c r="BS31" s="134"/>
      <c r="BT31" s="134"/>
      <c r="BU31" s="134"/>
      <c r="BV31" s="134"/>
    </row>
    <row r="32" spans="1:76" s="42" customFormat="1" x14ac:dyDescent="0.4">
      <c r="A32" s="21"/>
      <c r="B32" s="22"/>
      <c r="C32" s="63"/>
      <c r="D32" s="63"/>
      <c r="E32" s="39"/>
      <c r="F32" s="39"/>
      <c r="G32" s="39"/>
      <c r="H32" s="39"/>
      <c r="I32" s="26"/>
      <c r="J32" s="26"/>
      <c r="K32" s="26"/>
      <c r="L32" s="26"/>
      <c r="M32" s="26"/>
      <c r="N32" s="26"/>
      <c r="O32" s="26"/>
      <c r="P32" s="26"/>
      <c r="Q32" s="26"/>
      <c r="R32" s="75"/>
      <c r="S32" s="145"/>
      <c r="T32" s="145"/>
      <c r="U32" s="134"/>
      <c r="V32" s="134"/>
      <c r="W32" s="134"/>
      <c r="X32" s="134"/>
      <c r="Y32" s="134"/>
      <c r="Z32" s="134"/>
      <c r="AA32" s="134"/>
      <c r="AB32" s="134"/>
      <c r="AC32" s="138"/>
      <c r="AD32" s="134"/>
      <c r="AE32" s="134"/>
      <c r="AF32" s="134"/>
      <c r="AG32" s="134"/>
      <c r="AH32" s="138"/>
      <c r="AI32" s="195"/>
      <c r="AJ32" s="143"/>
      <c r="AK32" s="137"/>
      <c r="AL32" s="134"/>
      <c r="AM32" s="134"/>
      <c r="AN32" s="134"/>
      <c r="AO32" s="134"/>
      <c r="AP32" s="134"/>
      <c r="AQ32" s="137"/>
      <c r="AR32" s="139"/>
      <c r="AS32" s="139"/>
      <c r="AT32" s="139"/>
      <c r="AU32" s="139"/>
      <c r="AV32" s="139"/>
      <c r="AW32" s="137"/>
      <c r="AX32" s="134"/>
      <c r="AY32" s="134"/>
      <c r="AZ32" s="134"/>
      <c r="BA32" s="134"/>
      <c r="BB32" s="134"/>
      <c r="BC32" s="139"/>
      <c r="BD32" s="137"/>
      <c r="BE32" s="134"/>
      <c r="BF32" s="134"/>
      <c r="BG32" s="134"/>
      <c r="BH32" s="134"/>
      <c r="BI32" s="139"/>
      <c r="BJ32" s="60"/>
      <c r="BK32" s="139"/>
      <c r="BL32" s="139"/>
      <c r="BM32" s="139"/>
      <c r="BN32" s="134">
        <f t="shared" ref="BN32:BN36" si="39">N32</f>
        <v>0</v>
      </c>
      <c r="BO32" s="134">
        <f>SUM(O32:S32)</f>
        <v>0</v>
      </c>
      <c r="BP32" s="134">
        <f>SUM(U32:X32)</f>
        <v>0</v>
      </c>
      <c r="BQ32" s="134">
        <f>SUM(Z32:AC32)</f>
        <v>0</v>
      </c>
      <c r="BR32" s="134">
        <f>AE32</f>
        <v>0</v>
      </c>
      <c r="BS32" s="134">
        <f>AP32</f>
        <v>0</v>
      </c>
      <c r="BT32" s="134">
        <f t="shared" si="38"/>
        <v>0</v>
      </c>
      <c r="BU32" s="134">
        <f t="shared" si="38"/>
        <v>0</v>
      </c>
      <c r="BV32" s="134">
        <f t="shared" si="38"/>
        <v>0</v>
      </c>
    </row>
    <row r="33" spans="1:75" s="42" customFormat="1" x14ac:dyDescent="0.4">
      <c r="A33" s="21"/>
      <c r="B33" s="22" t="s">
        <v>34</v>
      </c>
      <c r="C33" s="38">
        <v>-100</v>
      </c>
      <c r="D33" s="38">
        <v>-100</v>
      </c>
      <c r="E33" s="38">
        <v>-100</v>
      </c>
      <c r="F33" s="38">
        <v>-100</v>
      </c>
      <c r="G33" s="38">
        <v>-100</v>
      </c>
      <c r="H33" s="38">
        <v>-100</v>
      </c>
      <c r="I33" s="38">
        <v>-100</v>
      </c>
      <c r="J33" s="38">
        <v>-100</v>
      </c>
      <c r="K33" s="38">
        <v>-100</v>
      </c>
      <c r="L33" s="38">
        <v>-100</v>
      </c>
      <c r="M33" s="38">
        <v>-100</v>
      </c>
      <c r="N33" s="38">
        <v>-100</v>
      </c>
      <c r="O33" s="38">
        <v>-100</v>
      </c>
      <c r="P33" s="38">
        <v>-100</v>
      </c>
      <c r="Q33" s="38">
        <v>-100</v>
      </c>
      <c r="R33" s="38">
        <v>-100</v>
      </c>
      <c r="S33" s="38">
        <v>-100</v>
      </c>
      <c r="T33" s="38">
        <v>-100</v>
      </c>
      <c r="U33" s="38">
        <v>-100</v>
      </c>
      <c r="V33" s="38">
        <v>-100</v>
      </c>
      <c r="W33" s="38">
        <v>-100</v>
      </c>
      <c r="X33" s="38">
        <v>-100</v>
      </c>
      <c r="Y33" s="38">
        <v>-100</v>
      </c>
      <c r="Z33" s="38">
        <v>-100</v>
      </c>
      <c r="AA33" s="38">
        <v>-100</v>
      </c>
      <c r="AB33" s="38">
        <v>-100</v>
      </c>
      <c r="AC33" s="38">
        <v>-100</v>
      </c>
      <c r="AD33" s="148"/>
      <c r="AE33" s="54">
        <v>-231.07</v>
      </c>
      <c r="AF33" s="134"/>
      <c r="AG33" s="197"/>
      <c r="AH33" s="103"/>
      <c r="AI33" s="157">
        <v>-184.64</v>
      </c>
      <c r="AJ33" s="111">
        <v>-100</v>
      </c>
      <c r="AK33" s="137"/>
      <c r="AL33" s="49"/>
      <c r="AM33" s="134"/>
      <c r="AN33" s="134"/>
      <c r="AO33" s="111">
        <v>-100</v>
      </c>
      <c r="AP33" s="49"/>
      <c r="AQ33" s="137"/>
      <c r="AR33" s="139"/>
      <c r="AS33" s="139"/>
      <c r="AT33" s="139"/>
      <c r="AU33" s="139">
        <v>-100</v>
      </c>
      <c r="AV33" s="49"/>
      <c r="AW33" s="137"/>
      <c r="AX33" s="68"/>
      <c r="AY33" s="68"/>
      <c r="AZ33" s="68"/>
      <c r="BA33" s="68"/>
      <c r="BB33" s="139">
        <v>-100</v>
      </c>
      <c r="BC33" s="49"/>
      <c r="BD33" s="137"/>
      <c r="BE33" s="68"/>
      <c r="BF33" s="68"/>
      <c r="BG33" s="68"/>
      <c r="BH33" s="139">
        <v>-100</v>
      </c>
      <c r="BI33" s="49"/>
      <c r="BJ33" s="60"/>
      <c r="BK33" s="139">
        <v>-100</v>
      </c>
      <c r="BL33" s="139">
        <f>BK33</f>
        <v>-100</v>
      </c>
      <c r="BM33" s="139">
        <f t="shared" ref="BM33:BV33" si="40">BL33</f>
        <v>-100</v>
      </c>
      <c r="BN33" s="139">
        <f t="shared" si="40"/>
        <v>-100</v>
      </c>
      <c r="BO33" s="139">
        <f t="shared" si="40"/>
        <v>-100</v>
      </c>
      <c r="BP33" s="139">
        <f t="shared" si="40"/>
        <v>-100</v>
      </c>
      <c r="BQ33" s="139">
        <f t="shared" si="40"/>
        <v>-100</v>
      </c>
      <c r="BR33" s="139">
        <f t="shared" si="40"/>
        <v>-100</v>
      </c>
      <c r="BS33" s="139">
        <f t="shared" si="40"/>
        <v>-100</v>
      </c>
      <c r="BT33" s="139">
        <f t="shared" si="40"/>
        <v>-100</v>
      </c>
      <c r="BU33" s="139">
        <f t="shared" si="40"/>
        <v>-100</v>
      </c>
      <c r="BV33" s="139">
        <f t="shared" si="40"/>
        <v>-100</v>
      </c>
    </row>
    <row r="34" spans="1:75" s="42" customFormat="1" x14ac:dyDescent="0.4">
      <c r="A34" s="21"/>
      <c r="B34" s="22"/>
      <c r="C34" s="63"/>
      <c r="D34" s="63"/>
      <c r="E34" s="39"/>
      <c r="F34" s="39"/>
      <c r="G34" s="39"/>
      <c r="H34" s="39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127"/>
      <c r="T34" s="127"/>
      <c r="U34" s="134"/>
      <c r="V34" s="134"/>
      <c r="W34" s="134"/>
      <c r="X34" s="134"/>
      <c r="Y34" s="134"/>
      <c r="Z34" s="134"/>
      <c r="AA34" s="134"/>
      <c r="AB34" s="134"/>
      <c r="AC34" s="145"/>
      <c r="AD34" s="134"/>
      <c r="AE34" s="134"/>
      <c r="AF34" s="134"/>
      <c r="AG34" s="134"/>
      <c r="AH34" s="145"/>
      <c r="AI34" s="153"/>
      <c r="AJ34" s="143"/>
      <c r="AK34" s="137"/>
      <c r="AL34" s="134"/>
      <c r="AM34" s="134"/>
      <c r="AN34" s="134"/>
      <c r="AO34" s="134"/>
      <c r="AP34" s="134"/>
      <c r="AQ34" s="137"/>
      <c r="AR34" s="139"/>
      <c r="AS34" s="139"/>
      <c r="AT34" s="139"/>
      <c r="AU34" s="139"/>
      <c r="AV34" s="139"/>
      <c r="AW34" s="137"/>
      <c r="AX34" s="134"/>
      <c r="AY34" s="134"/>
      <c r="AZ34" s="134"/>
      <c r="BA34" s="134"/>
      <c r="BB34" s="134"/>
      <c r="BC34" s="139"/>
      <c r="BD34" s="137"/>
      <c r="BE34" s="134"/>
      <c r="BF34" s="134"/>
      <c r="BG34" s="134"/>
      <c r="BH34" s="134"/>
      <c r="BI34" s="139"/>
      <c r="BJ34" s="60"/>
      <c r="BK34" s="139"/>
      <c r="BL34" s="139"/>
      <c r="BM34" s="139"/>
      <c r="BN34" s="134">
        <f t="shared" si="39"/>
        <v>0</v>
      </c>
      <c r="BO34" s="134">
        <f>SUM(O34:S34)</f>
        <v>0</v>
      </c>
      <c r="BP34" s="134">
        <f>SUM(U34:X34)</f>
        <v>0</v>
      </c>
      <c r="BQ34" s="134">
        <f>SUM(Z34:AC34)</f>
        <v>0</v>
      </c>
      <c r="BR34" s="134">
        <f t="shared" ref="BR34:BR36" si="41">AE34</f>
        <v>0</v>
      </c>
      <c r="BS34" s="134">
        <f t="shared" ref="BS34:BS36" si="42">AP34</f>
        <v>0</v>
      </c>
      <c r="BT34" s="134">
        <f t="shared" ref="BT34:BV36" si="43">AQ34</f>
        <v>0</v>
      </c>
      <c r="BU34" s="134">
        <f t="shared" si="43"/>
        <v>0</v>
      </c>
      <c r="BV34" s="134">
        <f t="shared" si="43"/>
        <v>0</v>
      </c>
    </row>
    <row r="35" spans="1:75" s="42" customFormat="1" x14ac:dyDescent="0.4">
      <c r="A35" s="21"/>
      <c r="B35" s="22" t="s">
        <v>35</v>
      </c>
      <c r="C35" s="63"/>
      <c r="D35" s="63"/>
      <c r="E35" s="39"/>
      <c r="F35" s="39"/>
      <c r="G35" s="39"/>
      <c r="H35" s="39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75"/>
      <c r="X35" s="75"/>
      <c r="Y35" s="26"/>
      <c r="Z35" s="26"/>
      <c r="AA35" s="26"/>
      <c r="AB35" s="26"/>
      <c r="AC35" s="26"/>
      <c r="AD35" s="26"/>
      <c r="AE35" s="127"/>
      <c r="AF35" s="127"/>
      <c r="AG35" s="127"/>
      <c r="AH35" s="127"/>
      <c r="AI35" s="127"/>
      <c r="AJ35" s="75"/>
      <c r="AK35"/>
      <c r="AL35" s="127"/>
      <c r="AM35" s="127"/>
      <c r="AN35" s="127"/>
      <c r="AO35" s="127"/>
      <c r="AP35" s="127"/>
      <c r="AQ35"/>
      <c r="AR35" s="139"/>
      <c r="AS35" s="139"/>
      <c r="AT35" s="139"/>
      <c r="AU35" s="139"/>
      <c r="AV35" s="129"/>
      <c r="AW35"/>
      <c r="AX35" s="127"/>
      <c r="AY35" s="127"/>
      <c r="AZ35" s="127"/>
      <c r="BA35" s="127"/>
      <c r="BB35" s="127"/>
      <c r="BC35" s="129"/>
      <c r="BD35"/>
      <c r="BE35" s="127"/>
      <c r="BF35" s="127"/>
      <c r="BG35" s="127"/>
      <c r="BH35" s="127"/>
      <c r="BI35" s="129"/>
      <c r="BJ35" s="60"/>
      <c r="BK35" s="129"/>
      <c r="BL35" s="129"/>
      <c r="BM35" s="129"/>
      <c r="BN35" s="134">
        <f t="shared" si="39"/>
        <v>0</v>
      </c>
      <c r="BO35" s="134">
        <f>SUM(O35:S35)</f>
        <v>0</v>
      </c>
      <c r="BP35" s="134">
        <f>SUM(U35:X35)</f>
        <v>0</v>
      </c>
      <c r="BQ35" s="134">
        <f>SUM(Z35:AC35)</f>
        <v>0</v>
      </c>
      <c r="BR35" s="134">
        <f t="shared" si="41"/>
        <v>0</v>
      </c>
      <c r="BS35" s="134">
        <f t="shared" si="42"/>
        <v>0</v>
      </c>
      <c r="BT35" s="134">
        <f t="shared" si="43"/>
        <v>0</v>
      </c>
      <c r="BU35" s="134">
        <f t="shared" si="43"/>
        <v>0</v>
      </c>
      <c r="BV35" s="134">
        <f t="shared" si="43"/>
        <v>0</v>
      </c>
    </row>
    <row r="36" spans="1:75" s="42" customFormat="1" x14ac:dyDescent="0.4">
      <c r="A36" s="21"/>
      <c r="B36" s="22"/>
      <c r="C36" s="39"/>
      <c r="D36" s="39"/>
      <c r="E36" s="39"/>
      <c r="F36" s="39"/>
      <c r="G36" s="39"/>
      <c r="H36" s="39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/>
      <c r="AL36" s="26"/>
      <c r="AM36" s="26"/>
      <c r="AN36" s="26"/>
      <c r="AO36" s="26"/>
      <c r="AP36" s="26"/>
      <c r="AQ36"/>
      <c r="AR36" s="139"/>
      <c r="AS36" s="139"/>
      <c r="AT36" s="139"/>
      <c r="AU36" s="139"/>
      <c r="AV36" s="39"/>
      <c r="AW36"/>
      <c r="AX36" s="26"/>
      <c r="AY36" s="26"/>
      <c r="AZ36" s="26"/>
      <c r="BA36" s="26"/>
      <c r="BB36" s="26"/>
      <c r="BC36" s="39"/>
      <c r="BD36"/>
      <c r="BE36" s="26"/>
      <c r="BF36" s="26"/>
      <c r="BG36" s="26"/>
      <c r="BH36" s="26"/>
      <c r="BI36" s="39"/>
      <c r="BJ36" s="60"/>
      <c r="BK36" s="39"/>
      <c r="BL36" s="39"/>
      <c r="BM36" s="39"/>
      <c r="BN36" s="134">
        <f t="shared" si="39"/>
        <v>0</v>
      </c>
      <c r="BO36" s="134">
        <f>SUM(O36:S36)</f>
        <v>0</v>
      </c>
      <c r="BP36" s="134">
        <f>SUM(U36:X36)</f>
        <v>0</v>
      </c>
      <c r="BQ36" s="134">
        <f>SUM(Z36:AC36)</f>
        <v>0</v>
      </c>
      <c r="BR36" s="134">
        <f t="shared" si="41"/>
        <v>0</v>
      </c>
      <c r="BS36" s="134">
        <f t="shared" si="42"/>
        <v>0</v>
      </c>
      <c r="BT36" s="134">
        <f t="shared" si="43"/>
        <v>0</v>
      </c>
      <c r="BU36" s="134">
        <f t="shared" si="43"/>
        <v>0</v>
      </c>
      <c r="BV36" s="134">
        <f t="shared" si="43"/>
        <v>0</v>
      </c>
    </row>
    <row r="37" spans="1:75" s="42" customFormat="1" x14ac:dyDescent="0.4">
      <c r="A37" s="7"/>
      <c r="B37" s="28" t="s">
        <v>36</v>
      </c>
      <c r="C37" s="58">
        <f t="shared" ref="C37:AI37" si="44">SUM(C17:C36)</f>
        <v>199943.8</v>
      </c>
      <c r="D37" s="58">
        <f t="shared" si="44"/>
        <v>102925</v>
      </c>
      <c r="E37" s="58">
        <f t="shared" si="44"/>
        <v>-100</v>
      </c>
      <c r="F37" s="58">
        <f t="shared" si="44"/>
        <v>-100</v>
      </c>
      <c r="G37" s="58">
        <f t="shared" si="44"/>
        <v>400</v>
      </c>
      <c r="H37" s="58">
        <f t="shared" si="44"/>
        <v>11210</v>
      </c>
      <c r="I37" s="55">
        <f t="shared" si="44"/>
        <v>210900</v>
      </c>
      <c r="J37" s="55">
        <f t="shared" si="44"/>
        <v>2917</v>
      </c>
      <c r="K37" s="55">
        <f t="shared" si="44"/>
        <v>-100</v>
      </c>
      <c r="L37" s="55">
        <f t="shared" si="44"/>
        <v>24920</v>
      </c>
      <c r="M37" s="55">
        <f t="shared" si="44"/>
        <v>940.1400000000001</v>
      </c>
      <c r="N37" s="55">
        <f t="shared" si="44"/>
        <v>228977.14</v>
      </c>
      <c r="O37" s="55">
        <f t="shared" si="44"/>
        <v>400</v>
      </c>
      <c r="P37" s="55">
        <f t="shared" si="44"/>
        <v>-100</v>
      </c>
      <c r="Q37" s="55">
        <f t="shared" si="44"/>
        <v>914.14</v>
      </c>
      <c r="R37" s="55">
        <f t="shared" si="44"/>
        <v>-100</v>
      </c>
      <c r="S37" s="55">
        <f t="shared" si="44"/>
        <v>-74</v>
      </c>
      <c r="T37" s="55">
        <f t="shared" si="44"/>
        <v>101440.14</v>
      </c>
      <c r="U37" s="55">
        <f t="shared" si="44"/>
        <v>200</v>
      </c>
      <c r="V37" s="55">
        <f t="shared" si="44"/>
        <v>400</v>
      </c>
      <c r="W37" s="55">
        <f t="shared" si="44"/>
        <v>-100</v>
      </c>
      <c r="X37" s="55">
        <f t="shared" si="44"/>
        <v>-100</v>
      </c>
      <c r="Y37" s="55">
        <f t="shared" si="44"/>
        <v>200700</v>
      </c>
      <c r="Z37" s="55">
        <f t="shared" si="44"/>
        <v>253400</v>
      </c>
      <c r="AA37" s="55">
        <f t="shared" si="44"/>
        <v>49900</v>
      </c>
      <c r="AB37" s="55">
        <f t="shared" si="44"/>
        <v>-100</v>
      </c>
      <c r="AC37" s="55">
        <f t="shared" si="44"/>
        <v>-9.4200000000000017</v>
      </c>
      <c r="AD37" s="55">
        <f t="shared" si="44"/>
        <v>303590.58</v>
      </c>
      <c r="AE37" s="55">
        <f t="shared" si="44"/>
        <v>-231.07</v>
      </c>
      <c r="AF37" s="55">
        <f t="shared" si="44"/>
        <v>500</v>
      </c>
      <c r="AG37" s="55">
        <f t="shared" si="44"/>
        <v>124000</v>
      </c>
      <c r="AH37" s="55">
        <f t="shared" si="44"/>
        <v>44000</v>
      </c>
      <c r="AI37" s="55">
        <f t="shared" si="44"/>
        <v>-184.64</v>
      </c>
      <c r="AJ37" s="55">
        <f>SUM(AE37:AI37)</f>
        <v>168084.28999999998</v>
      </c>
      <c r="AK37"/>
      <c r="AL37" s="55">
        <f>SUM(AL17:AL36)</f>
        <v>500</v>
      </c>
      <c r="AM37" s="55">
        <f>SUM(AM17:AM36)</f>
        <v>100000</v>
      </c>
      <c r="AN37" s="55">
        <f>SUM(AN17:AN36)</f>
        <v>125000</v>
      </c>
      <c r="AO37" s="55">
        <f>SUM(AO17:AO36)</f>
        <v>23900</v>
      </c>
      <c r="AP37" s="55"/>
      <c r="AQ37"/>
      <c r="AR37" s="55">
        <f>SUM(AR17:AR36)</f>
        <v>0</v>
      </c>
      <c r="AS37" s="55">
        <f>SUM(AS17:AS36)</f>
        <v>0</v>
      </c>
      <c r="AT37" s="55">
        <f>SUM(AT17:AT36)</f>
        <v>150500</v>
      </c>
      <c r="AU37" s="55">
        <f>SUM(AU17:AU36)</f>
        <v>-100</v>
      </c>
      <c r="AV37" s="55"/>
      <c r="AW37"/>
      <c r="AX37" s="55">
        <f>SUM(AX17:AX36)</f>
        <v>0</v>
      </c>
      <c r="AY37" s="55">
        <f>SUM(AY17:AY36)</f>
        <v>0</v>
      </c>
      <c r="AZ37" s="55">
        <f>SUM(AZ17:AZ36)</f>
        <v>225000</v>
      </c>
      <c r="BA37" s="55">
        <f>SUM(BA17:BA36)</f>
        <v>500</v>
      </c>
      <c r="BB37" s="55">
        <f>SUM(BB17:BB36)</f>
        <v>9900</v>
      </c>
      <c r="BC37" s="55"/>
      <c r="BD37"/>
      <c r="BE37" s="55">
        <f>SUM(BE17:BE36)</f>
        <v>30000</v>
      </c>
      <c r="BF37" s="55">
        <f>SUM(BF17:BF36)</f>
        <v>200000</v>
      </c>
      <c r="BG37" s="55">
        <f>SUM(BG17:BG36)</f>
        <v>500</v>
      </c>
      <c r="BH37" s="55">
        <f>SUM(BH17:BH36)</f>
        <v>9900</v>
      </c>
      <c r="BI37" s="55"/>
      <c r="BJ37" s="60"/>
      <c r="BK37" s="58">
        <f t="shared" ref="BK37:BV37" si="45">SUM(BK17:BK36)</f>
        <v>210400</v>
      </c>
      <c r="BL37" s="58">
        <f t="shared" si="45"/>
        <v>410400</v>
      </c>
      <c r="BM37" s="58">
        <f t="shared" si="45"/>
        <v>110400</v>
      </c>
      <c r="BN37" s="55">
        <f t="shared" si="45"/>
        <v>235400</v>
      </c>
      <c r="BO37" s="55">
        <f t="shared" si="45"/>
        <v>235400</v>
      </c>
      <c r="BP37" s="55">
        <f t="shared" si="45"/>
        <v>20400</v>
      </c>
      <c r="BQ37" s="55">
        <f t="shared" si="45"/>
        <v>263400</v>
      </c>
      <c r="BR37" s="55">
        <f t="shared" si="45"/>
        <v>134400</v>
      </c>
      <c r="BS37" s="55">
        <f t="shared" si="45"/>
        <v>84400</v>
      </c>
      <c r="BT37" s="55">
        <f t="shared" si="45"/>
        <v>270400</v>
      </c>
      <c r="BU37" s="55">
        <f t="shared" si="45"/>
        <v>10400</v>
      </c>
      <c r="BV37" s="55">
        <f t="shared" si="45"/>
        <v>10400</v>
      </c>
    </row>
    <row r="38" spans="1:75" s="42" customFormat="1" x14ac:dyDescent="0.4">
      <c r="A38" s="7"/>
      <c r="B38" s="7"/>
      <c r="C38" s="58"/>
      <c r="D38" s="58"/>
      <c r="E38" s="58"/>
      <c r="F38" s="58"/>
      <c r="G38" s="58"/>
      <c r="H38" s="58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8"/>
      <c r="AF38" s="58"/>
      <c r="AG38" s="58"/>
      <c r="AH38" s="58"/>
      <c r="AI38" s="58"/>
      <c r="AJ38" s="55"/>
      <c r="AK38"/>
      <c r="AL38" s="58"/>
      <c r="AM38" s="58"/>
      <c r="AN38" s="58"/>
      <c r="AO38" s="58"/>
      <c r="AP38" s="58"/>
      <c r="AQ38"/>
      <c r="AR38" s="58"/>
      <c r="AS38" s="58"/>
      <c r="AT38" s="58"/>
      <c r="AU38" s="58"/>
      <c r="AV38" s="58"/>
      <c r="AW38"/>
      <c r="AX38" s="58"/>
      <c r="AY38" s="58"/>
      <c r="AZ38" s="58"/>
      <c r="BA38" s="58"/>
      <c r="BB38" s="58"/>
      <c r="BC38" s="58"/>
      <c r="BD38"/>
      <c r="BE38" s="58"/>
      <c r="BF38" s="58"/>
      <c r="BG38" s="58"/>
      <c r="BH38" s="58"/>
      <c r="BI38" s="58"/>
      <c r="BJ38" s="60"/>
      <c r="BK38" s="58"/>
      <c r="BL38" s="58"/>
      <c r="BM38" s="58"/>
      <c r="BN38" s="55"/>
      <c r="BO38" s="55"/>
      <c r="BP38" s="55"/>
      <c r="BQ38" s="55"/>
      <c r="BR38" s="55"/>
      <c r="BS38" s="55"/>
      <c r="BT38" s="55"/>
      <c r="BU38" s="55"/>
      <c r="BV38" s="55"/>
    </row>
    <row r="39" spans="1:75" s="42" customFormat="1" x14ac:dyDescent="0.4">
      <c r="A39" s="7"/>
      <c r="B39" s="7"/>
      <c r="C39" s="58"/>
      <c r="D39" s="58"/>
      <c r="E39" s="58"/>
      <c r="F39" s="58"/>
      <c r="G39" s="58"/>
      <c r="H39" s="58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8"/>
      <c r="AF39" s="58"/>
      <c r="AG39" s="58"/>
      <c r="AH39" s="58"/>
      <c r="AI39" s="58"/>
      <c r="AJ39" s="55"/>
      <c r="AK39"/>
      <c r="AL39" s="58"/>
      <c r="AM39" s="58"/>
      <c r="AN39" s="58"/>
      <c r="AO39" s="58"/>
      <c r="AP39" s="58"/>
      <c r="AQ39"/>
      <c r="AR39" s="58"/>
      <c r="AS39" s="58"/>
      <c r="AT39" s="58"/>
      <c r="AU39" s="58"/>
      <c r="AV39" s="58"/>
      <c r="AW39"/>
      <c r="AX39" s="58"/>
      <c r="AY39" s="58"/>
      <c r="AZ39" s="58"/>
      <c r="BA39" s="58"/>
      <c r="BB39" s="58"/>
      <c r="BC39" s="58"/>
      <c r="BD39"/>
      <c r="BE39" s="58"/>
      <c r="BF39" s="58"/>
      <c r="BG39" s="58"/>
      <c r="BH39" s="58"/>
      <c r="BI39" s="58"/>
      <c r="BJ39" s="60"/>
      <c r="BK39" s="58"/>
      <c r="BL39" s="58"/>
      <c r="BM39" s="58"/>
      <c r="BN39" s="55"/>
      <c r="BO39" s="55"/>
      <c r="BP39" s="55"/>
      <c r="BQ39" s="55"/>
      <c r="BR39" s="55"/>
      <c r="BS39" s="55"/>
      <c r="BT39" s="55"/>
      <c r="BU39" s="55"/>
      <c r="BV39" s="55"/>
    </row>
    <row r="40" spans="1:75" s="42" customFormat="1" x14ac:dyDescent="0.4">
      <c r="A40" s="51"/>
      <c r="B40" s="51" t="s">
        <v>37</v>
      </c>
      <c r="C40" s="58"/>
      <c r="D40" s="58"/>
      <c r="E40" s="58"/>
      <c r="F40" s="58"/>
      <c r="G40" s="58"/>
      <c r="H40" s="58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8"/>
      <c r="AF40" s="58"/>
      <c r="AG40" s="58"/>
      <c r="AH40" s="58"/>
      <c r="AI40" s="58"/>
      <c r="AJ40" s="55"/>
      <c r="AK40"/>
      <c r="AL40" s="58"/>
      <c r="AM40" s="58"/>
      <c r="AN40" s="58"/>
      <c r="AO40" s="58"/>
      <c r="AP40" s="58"/>
      <c r="AQ40"/>
      <c r="AR40" s="58"/>
      <c r="AS40" s="58"/>
      <c r="AT40" s="58"/>
      <c r="AU40" s="58"/>
      <c r="AV40" s="58"/>
      <c r="AW40"/>
      <c r="AX40" s="58"/>
      <c r="AY40" s="58"/>
      <c r="AZ40" s="58"/>
      <c r="BA40" s="58"/>
      <c r="BB40" s="58"/>
      <c r="BC40" s="58"/>
      <c r="BD40"/>
      <c r="BE40" s="58"/>
      <c r="BF40" s="58"/>
      <c r="BG40" s="58"/>
      <c r="BH40" s="58"/>
      <c r="BI40" s="58"/>
      <c r="BJ40" s="60"/>
      <c r="BK40" s="58"/>
      <c r="BL40" s="58"/>
      <c r="BM40" s="58"/>
      <c r="BN40" s="55"/>
      <c r="BO40" s="55"/>
      <c r="BP40" s="55"/>
      <c r="BQ40" s="55"/>
      <c r="BR40" s="55"/>
      <c r="BS40" s="55"/>
      <c r="BT40" s="55"/>
      <c r="BU40" s="55"/>
      <c r="BV40" s="55"/>
    </row>
    <row r="41" spans="1:75" s="42" customFormat="1" x14ac:dyDescent="0.4">
      <c r="A41" s="7"/>
      <c r="B41" s="185"/>
      <c r="C41" s="58"/>
      <c r="D41" s="58"/>
      <c r="E41" s="58"/>
      <c r="F41" s="62"/>
      <c r="G41" s="58"/>
      <c r="H41" s="58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8"/>
      <c r="AF41" s="58"/>
      <c r="AG41" s="58"/>
      <c r="AH41" s="58"/>
      <c r="AI41" s="58"/>
      <c r="AJ41" s="55"/>
      <c r="AK41"/>
      <c r="AL41" s="58"/>
      <c r="AM41" s="58"/>
      <c r="AN41" s="58"/>
      <c r="AO41" s="58"/>
      <c r="AP41" s="58"/>
      <c r="AQ41"/>
      <c r="AR41" s="58"/>
      <c r="AS41" s="58"/>
      <c r="AT41" s="58"/>
      <c r="AU41" s="58"/>
      <c r="AV41" s="58"/>
      <c r="AW41"/>
      <c r="AX41" s="58"/>
      <c r="AY41" s="58"/>
      <c r="AZ41" s="58"/>
      <c r="BA41" s="58"/>
      <c r="BB41" s="58"/>
      <c r="BC41" s="58"/>
      <c r="BD41"/>
      <c r="BE41" s="58"/>
      <c r="BF41" s="58"/>
      <c r="BG41" s="58"/>
      <c r="BH41" s="58"/>
      <c r="BI41" s="58"/>
      <c r="BJ41" s="60"/>
      <c r="BK41" s="58"/>
      <c r="BL41" s="58"/>
      <c r="BM41" s="58"/>
      <c r="BN41" s="55"/>
      <c r="BO41" s="55"/>
      <c r="BP41" s="55"/>
      <c r="BQ41" s="55"/>
      <c r="BR41" s="55"/>
      <c r="BS41" s="55"/>
      <c r="BT41" s="55"/>
      <c r="BU41" s="55"/>
      <c r="BV41" s="55"/>
    </row>
    <row r="42" spans="1:75" s="42" customFormat="1" x14ac:dyDescent="0.4">
      <c r="A42" s="23"/>
      <c r="B42" s="52" t="s">
        <v>38</v>
      </c>
      <c r="C42" s="40">
        <v>100000</v>
      </c>
      <c r="D42" s="40">
        <f>C42</f>
        <v>100000</v>
      </c>
      <c r="E42" s="40">
        <f>3126.19+126878.53+95.6</f>
        <v>130100.32</v>
      </c>
      <c r="F42" s="40">
        <f>4410.38+36926.64</f>
        <v>41337.019999999997</v>
      </c>
      <c r="G42" s="39"/>
      <c r="H42" s="39"/>
      <c r="I42" s="40">
        <f>D42</f>
        <v>100000</v>
      </c>
      <c r="J42" s="26"/>
      <c r="K42" s="54">
        <f>128631.27+97.6</f>
        <v>128728.87000000001</v>
      </c>
      <c r="L42" s="54">
        <f>4913.93+48593.91+523.34</f>
        <v>54031.18</v>
      </c>
      <c r="M42" s="26"/>
      <c r="N42" s="40">
        <f>I42</f>
        <v>100000</v>
      </c>
      <c r="O42" s="54">
        <f>940.38+205.52+593.74+121.8+6310.07+371.4+55.33+673.1+8132.13+168</f>
        <v>17571.47</v>
      </c>
      <c r="P42" s="54">
        <f>124376.26+101.13</f>
        <v>124477.39</v>
      </c>
      <c r="Q42" s="54">
        <f>582.63+523.34+4912.11+47495.81</f>
        <v>53513.89</v>
      </c>
      <c r="R42" s="134"/>
      <c r="S42" s="140"/>
      <c r="T42" s="54">
        <f>N42</f>
        <v>100000</v>
      </c>
      <c r="U42" s="140"/>
      <c r="V42" s="54">
        <f>(179973.89)+111.07+73650.18+7474.16</f>
        <v>261209.30000000002</v>
      </c>
      <c r="W42" s="54">
        <f>517.99+523.34+1.03</f>
        <v>1042.3599999999999</v>
      </c>
      <c r="X42" s="134"/>
      <c r="Y42" s="54">
        <f>T42</f>
        <v>100000</v>
      </c>
      <c r="Z42" s="134"/>
      <c r="AA42" s="54">
        <f>180292.39+129.95</f>
        <v>180422.34000000003</v>
      </c>
      <c r="AB42" s="54">
        <f>523.34+58421.02+5621.72</f>
        <v>64566.079999999994</v>
      </c>
      <c r="AC42" s="134"/>
      <c r="AD42" s="54">
        <f>'Payroll Detail'!E34</f>
        <v>121740.06240000001</v>
      </c>
      <c r="AE42" s="54">
        <f>147.62+391.74+8431.86+72.83+1354.27</f>
        <v>10398.320000000002</v>
      </c>
      <c r="AF42" s="116">
        <f>171633.51+114.51</f>
        <v>171748.02000000002</v>
      </c>
      <c r="AG42" s="116">
        <f>115.39+891.17+62234.36+5606.97+523.34</f>
        <v>69371.23</v>
      </c>
      <c r="AH42" s="116">
        <f>1006.56+391.74</f>
        <v>1398.3</v>
      </c>
      <c r="AI42" s="120"/>
      <c r="AJ42" s="54">
        <f>'Payroll Detail'!F34</f>
        <v>110400.06240000001</v>
      </c>
      <c r="AK42" s="137"/>
      <c r="AL42" s="143"/>
      <c r="AM42" s="157">
        <f>'Payroll Detail'!G34</f>
        <v>109482.18120000001</v>
      </c>
      <c r="AN42" s="157"/>
      <c r="AO42" s="111"/>
      <c r="AP42" s="246"/>
      <c r="AQ42" s="137"/>
      <c r="AR42" s="143">
        <f>'Payroll Detail'!G34-'Cashflow - Detail'!AM42</f>
        <v>0</v>
      </c>
      <c r="AS42" s="156">
        <f>'Payroll Detail'!H34</f>
        <v>109088.8236</v>
      </c>
      <c r="AT42" s="134"/>
      <c r="AU42" s="49"/>
      <c r="AV42" s="49"/>
      <c r="AW42" s="137"/>
      <c r="AX42" s="134"/>
      <c r="AY42" s="134"/>
      <c r="AZ42" s="134">
        <f>'Payroll Detail'!I34</f>
        <v>128551.68360000002</v>
      </c>
      <c r="BA42" s="49"/>
      <c r="BB42" s="134"/>
      <c r="BC42" s="49"/>
      <c r="BD42" s="137"/>
      <c r="BE42" s="134"/>
      <c r="BF42" s="134">
        <f>'Payroll Detail'!J34</f>
        <v>128857.68000000001</v>
      </c>
      <c r="BG42" s="134"/>
      <c r="BH42" s="134"/>
      <c r="BI42" s="49"/>
      <c r="BJ42" s="60"/>
      <c r="BK42" s="139">
        <f>BF42</f>
        <v>128857.68000000001</v>
      </c>
      <c r="BL42" s="139">
        <f>BK42</f>
        <v>128857.68000000001</v>
      </c>
      <c r="BM42" s="139">
        <f>BL42*1.04</f>
        <v>134011.9872</v>
      </c>
      <c r="BN42" s="139">
        <f t="shared" ref="BN42:BS42" si="46">BM42</f>
        <v>134011.9872</v>
      </c>
      <c r="BO42" s="139">
        <f t="shared" si="46"/>
        <v>134011.9872</v>
      </c>
      <c r="BP42" s="139">
        <f t="shared" si="46"/>
        <v>134011.9872</v>
      </c>
      <c r="BQ42" s="139">
        <f t="shared" si="46"/>
        <v>134011.9872</v>
      </c>
      <c r="BR42" s="139">
        <f t="shared" si="46"/>
        <v>134011.9872</v>
      </c>
      <c r="BS42" s="139">
        <f t="shared" si="46"/>
        <v>134011.9872</v>
      </c>
      <c r="BT42" s="139">
        <f t="shared" ref="BT42" si="47">BS42</f>
        <v>134011.9872</v>
      </c>
      <c r="BU42" s="139">
        <f t="shared" ref="BU42" si="48">BT42</f>
        <v>134011.9872</v>
      </c>
      <c r="BV42" s="139">
        <f t="shared" ref="BV42" si="49">BU42</f>
        <v>134011.9872</v>
      </c>
      <c r="BW42" s="42" t="s">
        <v>39</v>
      </c>
    </row>
    <row r="43" spans="1:75" s="42" customFormat="1" hidden="1" outlineLevel="1" x14ac:dyDescent="0.4">
      <c r="A43" s="16"/>
      <c r="B43" s="7"/>
      <c r="C43" s="39"/>
      <c r="D43" s="39"/>
      <c r="E43" s="39"/>
      <c r="F43" s="39"/>
      <c r="G43" s="40"/>
      <c r="H43" s="39"/>
      <c r="I43" s="26"/>
      <c r="J43" s="26"/>
      <c r="K43" s="60"/>
      <c r="L43" s="54"/>
      <c r="N43" s="26"/>
      <c r="O43" s="54"/>
      <c r="P43" s="69"/>
      <c r="R43" s="138"/>
      <c r="S43" s="140"/>
      <c r="T43" s="140"/>
      <c r="U43" s="140"/>
      <c r="V43" s="134"/>
      <c r="W43" s="140"/>
      <c r="X43" s="134"/>
      <c r="Y43" s="134"/>
      <c r="Z43" s="134"/>
      <c r="AA43" s="134"/>
      <c r="AB43" s="134"/>
      <c r="AC43" s="134"/>
      <c r="AD43" s="134"/>
      <c r="AE43" s="134"/>
      <c r="AF43" s="134"/>
      <c r="AG43" s="145"/>
      <c r="AH43" s="145"/>
      <c r="AI43" s="145"/>
      <c r="AJ43" s="145"/>
      <c r="AK43" s="137"/>
      <c r="AL43" s="145"/>
      <c r="AM43" s="134"/>
      <c r="AN43" s="145"/>
      <c r="AO43" s="145"/>
      <c r="AP43" s="134"/>
      <c r="AQ43" s="137"/>
      <c r="AR43" s="134"/>
      <c r="AS43" s="134"/>
      <c r="AT43" s="139"/>
      <c r="AU43" s="49"/>
      <c r="AV43" s="49"/>
      <c r="AW43" s="137"/>
      <c r="AX43" s="134"/>
      <c r="AY43" s="134"/>
      <c r="AZ43" s="139"/>
      <c r="BA43" s="49"/>
      <c r="BB43" s="134"/>
      <c r="BC43" s="49"/>
      <c r="BD43" s="137"/>
      <c r="BE43" s="134"/>
      <c r="BF43" s="134"/>
      <c r="BG43" s="139"/>
      <c r="BH43" s="134"/>
      <c r="BI43" s="49"/>
      <c r="BJ43" s="60"/>
      <c r="BK43" s="139"/>
      <c r="BL43" s="139"/>
      <c r="BM43" s="139"/>
      <c r="BN43" s="134"/>
      <c r="BO43" s="134"/>
      <c r="BP43" s="134"/>
      <c r="BQ43" s="134"/>
      <c r="BR43" s="134"/>
      <c r="BS43" s="134"/>
      <c r="BT43" s="134"/>
      <c r="BU43" s="134"/>
      <c r="BV43" s="134"/>
    </row>
    <row r="44" spans="1:75" s="42" customFormat="1" collapsed="1" x14ac:dyDescent="0.4">
      <c r="A44" s="16"/>
      <c r="B44" s="7"/>
      <c r="C44" s="39"/>
      <c r="D44" s="39"/>
      <c r="E44" s="39"/>
      <c r="F44" s="39"/>
      <c r="G44" s="40"/>
      <c r="H44" s="39"/>
      <c r="I44" s="26"/>
      <c r="J44" s="26"/>
      <c r="K44" s="26"/>
      <c r="L44" s="54"/>
      <c r="M44" s="26"/>
      <c r="N44" s="26"/>
      <c r="O44" s="116"/>
      <c r="P44" s="49"/>
      <c r="Q44" s="133"/>
      <c r="R44" s="72"/>
      <c r="S44" s="111"/>
      <c r="T44" s="111"/>
      <c r="U44" s="157"/>
      <c r="V44" s="191"/>
      <c r="W44" s="192"/>
      <c r="X44" s="191"/>
      <c r="Y44" s="179"/>
      <c r="Z44" s="127"/>
      <c r="AA44" s="127"/>
      <c r="AB44" s="127"/>
      <c r="AC44" s="127"/>
      <c r="AD44" s="127"/>
      <c r="AE44" s="49"/>
      <c r="AF44" s="127"/>
      <c r="AG44" s="127"/>
      <c r="AH44" s="127"/>
      <c r="AI44" s="127"/>
      <c r="AJ44" s="179"/>
      <c r="AK44" s="128"/>
      <c r="AL44" s="49"/>
      <c r="AM44" s="127"/>
      <c r="AN44" s="127"/>
      <c r="AO44" s="127"/>
      <c r="AP44" s="127"/>
      <c r="AQ44" s="128"/>
      <c r="AR44" s="49"/>
      <c r="AS44" s="49"/>
      <c r="AT44" s="129"/>
      <c r="AU44" s="49"/>
      <c r="AV44" s="49"/>
      <c r="AW44" s="128"/>
      <c r="AX44" s="49"/>
      <c r="AY44" s="49"/>
      <c r="AZ44" s="129"/>
      <c r="BA44" s="49"/>
      <c r="BB44" s="49"/>
      <c r="BC44" s="49"/>
      <c r="BD44" s="128"/>
      <c r="BE44" s="49"/>
      <c r="BF44" s="49"/>
      <c r="BG44" s="129"/>
      <c r="BH44" s="49"/>
      <c r="BI44" s="49"/>
      <c r="BJ44" s="60"/>
      <c r="BK44" s="129"/>
      <c r="BL44" s="129"/>
      <c r="BM44" s="129"/>
      <c r="BN44" s="127"/>
      <c r="BO44" s="127"/>
      <c r="BP44" s="127"/>
      <c r="BQ44" s="127"/>
      <c r="BR44" s="127"/>
      <c r="BS44" s="127"/>
      <c r="BT44" s="127"/>
      <c r="BU44" s="127"/>
      <c r="BV44" s="127"/>
    </row>
    <row r="45" spans="1:75" s="42" customFormat="1" x14ac:dyDescent="0.4">
      <c r="A45" s="16"/>
      <c r="B45" s="7" t="s">
        <v>40</v>
      </c>
      <c r="C45" s="39"/>
      <c r="D45" s="39"/>
      <c r="E45" s="39"/>
      <c r="F45" s="39"/>
      <c r="G45" s="40"/>
      <c r="H45" s="39"/>
      <c r="I45" s="26"/>
      <c r="J45" s="26"/>
      <c r="K45" s="26"/>
      <c r="L45" s="54"/>
      <c r="M45" s="26"/>
      <c r="N45" s="26"/>
      <c r="O45" s="116"/>
      <c r="P45" s="49"/>
      <c r="Q45" s="133"/>
      <c r="R45" s="103"/>
      <c r="S45" s="156"/>
      <c r="T45" s="156"/>
      <c r="U45" s="120"/>
      <c r="V45" s="103"/>
      <c r="W45" s="143"/>
      <c r="X45" s="143"/>
      <c r="Y45" s="148"/>
      <c r="Z45" s="134"/>
      <c r="AA45" s="134"/>
      <c r="AB45" s="134"/>
      <c r="AC45" s="134"/>
      <c r="AD45" s="134"/>
      <c r="AE45" s="49"/>
      <c r="AF45" s="134"/>
      <c r="AG45" s="134"/>
      <c r="AH45" s="134"/>
      <c r="AI45" s="134"/>
      <c r="AJ45" s="148"/>
      <c r="AK45" s="137"/>
      <c r="AL45" s="49"/>
      <c r="AM45" s="134"/>
      <c r="AN45" s="134"/>
      <c r="AO45" s="134"/>
      <c r="AP45" s="49"/>
      <c r="AQ45" s="137"/>
      <c r="AR45" s="49"/>
      <c r="AS45" s="49"/>
      <c r="AT45" s="139">
        <f>4100*1.08</f>
        <v>4428</v>
      </c>
      <c r="AU45" s="49"/>
      <c r="AV45" s="49"/>
      <c r="AW45" s="137"/>
      <c r="AX45" s="49"/>
      <c r="AY45" s="49"/>
      <c r="AZ45" s="139">
        <f>1600*1.08</f>
        <v>1728</v>
      </c>
      <c r="BA45" s="49"/>
      <c r="BB45" s="49"/>
      <c r="BC45" s="49"/>
      <c r="BD45" s="137"/>
      <c r="BE45" s="49"/>
      <c r="BF45" s="49"/>
      <c r="BG45" s="139">
        <f>(57308-20000)*1.08</f>
        <v>40292.639999999999</v>
      </c>
      <c r="BH45" s="49"/>
      <c r="BI45" s="49"/>
      <c r="BJ45" s="60"/>
      <c r="BK45" s="139">
        <v>5000</v>
      </c>
      <c r="BL45" s="139">
        <v>5000</v>
      </c>
      <c r="BM45" s="139">
        <v>40000</v>
      </c>
      <c r="BN45" s="134">
        <f t="shared" ref="BN45:BS45" si="50">BK45</f>
        <v>5000</v>
      </c>
      <c r="BO45" s="134">
        <f t="shared" si="50"/>
        <v>5000</v>
      </c>
      <c r="BP45" s="134">
        <f t="shared" si="50"/>
        <v>40000</v>
      </c>
      <c r="BQ45" s="134">
        <f t="shared" si="50"/>
        <v>5000</v>
      </c>
      <c r="BR45" s="134">
        <f t="shared" si="50"/>
        <v>5000</v>
      </c>
      <c r="BS45" s="134">
        <f t="shared" si="50"/>
        <v>40000</v>
      </c>
      <c r="BT45" s="134">
        <f t="shared" ref="BT45" si="51">BQ45</f>
        <v>5000</v>
      </c>
      <c r="BU45" s="134">
        <f t="shared" ref="BU45" si="52">BR45</f>
        <v>5000</v>
      </c>
      <c r="BV45" s="134">
        <f t="shared" ref="BV45" si="53">BS45</f>
        <v>40000</v>
      </c>
    </row>
    <row r="46" spans="1:75" s="42" customFormat="1" x14ac:dyDescent="0.4">
      <c r="A46" s="16"/>
      <c r="B46" s="7" t="s">
        <v>41</v>
      </c>
      <c r="C46" s="39"/>
      <c r="D46" s="39"/>
      <c r="E46" s="39"/>
      <c r="F46" s="39"/>
      <c r="G46" s="40"/>
      <c r="H46" s="39"/>
      <c r="I46" s="26"/>
      <c r="J46" s="26"/>
      <c r="K46" s="26"/>
      <c r="L46" s="54"/>
      <c r="M46" s="26"/>
      <c r="N46" s="26"/>
      <c r="O46" s="116"/>
      <c r="P46" s="119"/>
      <c r="Q46" s="133"/>
      <c r="R46" s="143"/>
      <c r="S46" s="156"/>
      <c r="T46" s="156"/>
      <c r="U46" s="171"/>
      <c r="V46" s="103"/>
      <c r="W46" s="143"/>
      <c r="X46" s="143"/>
      <c r="Y46" s="148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48"/>
      <c r="AK46" s="137"/>
      <c r="AL46" s="134"/>
      <c r="AM46" s="134"/>
      <c r="AO46" s="134"/>
      <c r="AP46" s="49"/>
      <c r="AQ46" s="137"/>
      <c r="AR46" s="134"/>
      <c r="AS46" s="134"/>
      <c r="AT46" s="139">
        <f>+(AN22)*0.08*1.08</f>
        <v>2160</v>
      </c>
      <c r="AU46" s="49"/>
      <c r="AV46" s="49"/>
      <c r="AW46" s="137"/>
      <c r="AX46" s="134"/>
      <c r="AY46" s="134"/>
      <c r="AZ46" s="139">
        <f>AT24*0.08*1.08</f>
        <v>12960</v>
      </c>
      <c r="BA46" s="49"/>
      <c r="BB46" s="134"/>
      <c r="BC46" s="49"/>
      <c r="BD46" s="137"/>
      <c r="BE46" s="134"/>
      <c r="BF46" s="134"/>
      <c r="BG46" s="134"/>
      <c r="BH46" s="134"/>
      <c r="BI46" s="139"/>
      <c r="BJ46" s="60"/>
      <c r="BK46" s="139"/>
      <c r="BL46" s="139"/>
      <c r="BM46" s="139"/>
      <c r="BN46" s="134"/>
      <c r="BO46" s="134"/>
      <c r="BP46" s="134"/>
      <c r="BQ46" s="134"/>
      <c r="BR46" s="134"/>
      <c r="BS46" s="134"/>
      <c r="BT46" s="134"/>
      <c r="BU46" s="134"/>
      <c r="BV46" s="134"/>
    </row>
    <row r="47" spans="1:75" s="42" customFormat="1" x14ac:dyDescent="0.4">
      <c r="A47" s="7"/>
      <c r="B47" s="7" t="s">
        <v>42</v>
      </c>
      <c r="C47" s="39"/>
      <c r="D47" s="39"/>
      <c r="E47" s="39"/>
      <c r="F47" s="40"/>
      <c r="G47" s="40"/>
      <c r="H47" s="40"/>
      <c r="I47" s="54"/>
      <c r="J47" s="54"/>
      <c r="K47" s="54"/>
      <c r="L47" s="54"/>
      <c r="M47" s="54"/>
      <c r="N47" s="54"/>
      <c r="O47" s="54"/>
      <c r="P47" s="115"/>
      <c r="Q47" s="54"/>
      <c r="R47" s="154"/>
      <c r="S47" s="154"/>
      <c r="T47" s="154"/>
      <c r="U47" s="206"/>
      <c r="V47" s="156"/>
      <c r="W47" s="156"/>
      <c r="X47" s="156"/>
      <c r="Y47" s="144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37"/>
      <c r="AL47" s="140"/>
      <c r="AM47" s="140"/>
      <c r="AN47" s="140"/>
      <c r="AO47" s="140"/>
      <c r="AP47" s="140"/>
      <c r="AQ47" s="137"/>
      <c r="AR47" s="140"/>
      <c r="AS47" s="140"/>
      <c r="AT47" s="140"/>
      <c r="AU47" s="140"/>
      <c r="AV47" s="141"/>
      <c r="AW47" s="137"/>
      <c r="AX47" s="140"/>
      <c r="AY47" s="140"/>
      <c r="AZ47" s="140"/>
      <c r="BA47" s="140"/>
      <c r="BB47" s="140"/>
      <c r="BC47" s="141"/>
      <c r="BD47" s="137"/>
      <c r="BE47" s="140"/>
      <c r="BF47" s="140"/>
      <c r="BG47" s="140"/>
      <c r="BH47" s="140"/>
      <c r="BI47" s="141"/>
      <c r="BJ47" s="60"/>
      <c r="BK47" s="141"/>
      <c r="BL47" s="139">
        <v>100000</v>
      </c>
      <c r="BM47" s="141"/>
      <c r="BN47" s="140"/>
      <c r="BO47" s="140"/>
      <c r="BP47" s="140"/>
      <c r="BQ47" s="140"/>
      <c r="BR47" s="140"/>
      <c r="BS47" s="140"/>
      <c r="BT47" s="140"/>
      <c r="BU47" s="140"/>
      <c r="BV47" s="140"/>
    </row>
    <row r="48" spans="1:75" s="42" customFormat="1" x14ac:dyDescent="0.4">
      <c r="A48" s="7"/>
      <c r="B48" s="10"/>
      <c r="C48" s="39"/>
      <c r="D48" s="39"/>
      <c r="E48" s="39"/>
      <c r="F48" s="39"/>
      <c r="G48" s="39"/>
      <c r="H48" s="39"/>
      <c r="I48" s="26"/>
      <c r="J48" s="26"/>
      <c r="K48" s="26"/>
      <c r="L48" s="26"/>
      <c r="M48" s="26"/>
      <c r="N48" s="26"/>
      <c r="O48" s="26"/>
      <c r="P48" s="26"/>
      <c r="Q48" s="26"/>
      <c r="R48" s="134"/>
      <c r="S48" s="134"/>
      <c r="T48" s="134"/>
      <c r="U48" s="134"/>
      <c r="V48" s="145"/>
      <c r="W48" s="145"/>
      <c r="X48" s="145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7"/>
      <c r="AL48" s="134"/>
      <c r="AM48" s="134"/>
      <c r="AN48" s="134"/>
      <c r="AO48" s="134"/>
      <c r="AP48" s="134"/>
      <c r="AQ48" s="137"/>
      <c r="AR48" s="134"/>
      <c r="AS48" s="134"/>
      <c r="AT48" s="134"/>
      <c r="AU48" s="134"/>
      <c r="AV48" s="139"/>
      <c r="AW48" s="137"/>
      <c r="AX48" s="134"/>
      <c r="AY48" s="134"/>
      <c r="AZ48" s="134"/>
      <c r="BA48" s="134"/>
      <c r="BB48" s="134"/>
      <c r="BC48" s="139"/>
      <c r="BD48" s="137"/>
      <c r="BE48" s="134"/>
      <c r="BF48" s="134"/>
      <c r="BG48" s="134"/>
      <c r="BH48" s="134"/>
      <c r="BI48" s="139"/>
      <c r="BJ48" s="60"/>
      <c r="BK48" s="139"/>
      <c r="BL48" s="139"/>
      <c r="BM48" s="139"/>
      <c r="BN48" s="134"/>
      <c r="BO48" s="134"/>
      <c r="BP48" s="134"/>
      <c r="BQ48" s="134"/>
      <c r="BR48" s="134"/>
      <c r="BS48" s="134"/>
      <c r="BT48" s="134"/>
      <c r="BU48" s="134"/>
      <c r="BV48" s="134"/>
    </row>
    <row r="49" spans="1:74" s="42" customFormat="1" x14ac:dyDescent="0.4">
      <c r="A49" s="7"/>
      <c r="B49" s="7"/>
      <c r="C49" s="58"/>
      <c r="D49" s="58"/>
      <c r="E49" s="58"/>
      <c r="F49" s="58"/>
      <c r="G49" s="58"/>
      <c r="H49" s="58"/>
      <c r="I49" s="55"/>
      <c r="J49" s="55"/>
      <c r="K49" s="55"/>
      <c r="L49" s="55"/>
      <c r="M49" s="55"/>
      <c r="N49" s="55"/>
      <c r="O49" s="55"/>
      <c r="P49" s="55"/>
      <c r="Q49" s="55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42"/>
      <c r="AF49" s="142"/>
      <c r="AG49" s="142"/>
      <c r="AH49" s="142"/>
      <c r="AI49" s="142"/>
      <c r="AJ49" s="136"/>
      <c r="AK49" s="137"/>
      <c r="AL49" s="142"/>
      <c r="AM49" s="142"/>
      <c r="AN49" s="142"/>
      <c r="AO49" s="142"/>
      <c r="AP49" s="142"/>
      <c r="AQ49" s="137"/>
      <c r="AR49" s="142"/>
      <c r="AS49" s="142"/>
      <c r="AT49" s="142"/>
      <c r="AU49" s="142"/>
      <c r="AV49" s="142"/>
      <c r="AW49" s="137"/>
      <c r="AX49" s="142"/>
      <c r="AY49" s="142"/>
      <c r="AZ49" s="142"/>
      <c r="BA49" s="142"/>
      <c r="BB49" s="142"/>
      <c r="BC49" s="142"/>
      <c r="BD49" s="137"/>
      <c r="BE49" s="142"/>
      <c r="BF49" s="142"/>
      <c r="BG49" s="142"/>
      <c r="BH49" s="142"/>
      <c r="BI49" s="142"/>
      <c r="BJ49" s="60"/>
      <c r="BK49" s="142"/>
      <c r="BL49" s="142"/>
      <c r="BM49" s="142"/>
      <c r="BN49" s="136"/>
      <c r="BO49" s="136"/>
      <c r="BP49" s="136"/>
      <c r="BQ49" s="136"/>
      <c r="BR49" s="136"/>
      <c r="BS49" s="136"/>
      <c r="BT49" s="136"/>
      <c r="BU49" s="136"/>
      <c r="BV49" s="136"/>
    </row>
    <row r="50" spans="1:74" s="42" customFormat="1" x14ac:dyDescent="0.4">
      <c r="A50" s="23"/>
      <c r="B50" s="52" t="s">
        <v>43</v>
      </c>
      <c r="C50" s="58"/>
      <c r="D50" s="58"/>
      <c r="E50" s="58"/>
      <c r="F50" s="58"/>
      <c r="G50" s="58"/>
      <c r="H50" s="58"/>
      <c r="I50" s="55"/>
      <c r="J50" s="55"/>
      <c r="K50" s="55"/>
      <c r="L50" s="55"/>
      <c r="M50" s="55"/>
      <c r="N50" s="55"/>
      <c r="O50" s="55"/>
      <c r="P50" s="55"/>
      <c r="Q50" s="55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42"/>
      <c r="AF50" s="142"/>
      <c r="AG50" s="142"/>
      <c r="AH50" s="142"/>
      <c r="AI50" s="142"/>
      <c r="AJ50" s="136"/>
      <c r="AK50" s="137"/>
      <c r="AL50" s="142"/>
      <c r="AM50" s="142"/>
      <c r="AN50" s="142"/>
      <c r="AO50" s="142"/>
      <c r="AP50" s="142"/>
      <c r="AQ50" s="137"/>
      <c r="AR50" s="142"/>
      <c r="AS50" s="142"/>
      <c r="AT50" s="142"/>
      <c r="AU50" s="142"/>
      <c r="AV50" s="142"/>
      <c r="AW50" s="137"/>
      <c r="AX50" s="142"/>
      <c r="AY50" s="142"/>
      <c r="AZ50" s="142"/>
      <c r="BA50" s="142"/>
      <c r="BB50" s="142"/>
      <c r="BC50" s="142"/>
      <c r="BD50" s="137"/>
      <c r="BE50" s="142"/>
      <c r="BF50" s="142"/>
      <c r="BG50" s="142"/>
      <c r="BH50" s="142"/>
      <c r="BI50" s="142"/>
      <c r="BJ50" s="60"/>
      <c r="BK50" s="142"/>
      <c r="BL50" s="142"/>
      <c r="BM50" s="142"/>
      <c r="BN50" s="136"/>
      <c r="BO50" s="136"/>
      <c r="BP50" s="136"/>
      <c r="BQ50" s="136"/>
      <c r="BR50" s="136"/>
      <c r="BS50" s="136"/>
      <c r="BT50" s="136"/>
      <c r="BU50" s="136"/>
      <c r="BV50" s="136"/>
    </row>
    <row r="51" spans="1:74" s="42" customFormat="1" x14ac:dyDescent="0.4">
      <c r="A51" s="16"/>
      <c r="B51" s="22" t="s">
        <v>113</v>
      </c>
      <c r="C51" s="40"/>
      <c r="D51" s="40"/>
      <c r="E51" s="40"/>
      <c r="F51" s="40">
        <f>1042.13</f>
        <v>1042.1300000000001</v>
      </c>
      <c r="G51" s="60"/>
      <c r="H51" s="40"/>
      <c r="I51" s="54">
        <v>1042.1300000000001</v>
      </c>
      <c r="J51" s="54"/>
      <c r="K51" s="26"/>
      <c r="L51" s="97"/>
      <c r="M51" s="54"/>
      <c r="N51" s="54"/>
      <c r="O51" s="111"/>
      <c r="Q51" s="80"/>
      <c r="R51" s="120"/>
      <c r="S51" s="123"/>
      <c r="T51" s="123"/>
      <c r="U51" s="195"/>
      <c r="V51" s="120"/>
      <c r="W51" s="111"/>
      <c r="X51" s="143"/>
      <c r="Y51" s="111"/>
      <c r="Z51" s="210"/>
      <c r="AA51" s="134"/>
      <c r="AB51" s="138"/>
      <c r="AC51" s="134"/>
      <c r="AD51" s="138"/>
      <c r="AE51" s="140"/>
      <c r="AF51" s="140"/>
      <c r="AG51" s="111">
        <f>320.42</f>
        <v>320.42</v>
      </c>
      <c r="AH51" s="157">
        <v>401.11</v>
      </c>
      <c r="AI51" s="263"/>
      <c r="AJ51" s="54">
        <f>SUM(AE51:AI51)</f>
        <v>721.53</v>
      </c>
      <c r="AK51" s="137"/>
      <c r="AL51" s="255"/>
      <c r="AM51" s="255"/>
      <c r="AN51" s="255"/>
      <c r="AO51" s="255"/>
      <c r="AP51" s="140"/>
      <c r="AQ51" s="137"/>
      <c r="AR51" s="255"/>
      <c r="AS51" s="140"/>
      <c r="AT51" s="140"/>
      <c r="AU51" s="255"/>
      <c r="AV51" s="141"/>
      <c r="AW51" s="137"/>
      <c r="AX51" s="140"/>
      <c r="AY51" s="140"/>
      <c r="AZ51" s="140"/>
      <c r="BA51" s="140"/>
      <c r="BB51" s="140"/>
      <c r="BC51" s="141"/>
      <c r="BD51" s="137"/>
      <c r="BE51" s="140"/>
      <c r="BF51" s="140"/>
      <c r="BG51" s="140"/>
      <c r="BH51" s="140"/>
      <c r="BI51" s="141"/>
      <c r="BJ51" s="60"/>
      <c r="BK51" s="139">
        <f>C51</f>
        <v>0</v>
      </c>
      <c r="BL51" s="139">
        <f>D51</f>
        <v>0</v>
      </c>
      <c r="BM51" s="139"/>
      <c r="BN51" s="134">
        <v>15000</v>
      </c>
      <c r="BO51" s="134">
        <f t="shared" ref="BM51:BP52" si="54">K51</f>
        <v>0</v>
      </c>
      <c r="BP51" s="134">
        <f t="shared" si="54"/>
        <v>0</v>
      </c>
      <c r="BQ51" s="134">
        <f>SUM(Z51:AC51)</f>
        <v>0</v>
      </c>
      <c r="BR51" s="134">
        <f>AE51</f>
        <v>0</v>
      </c>
      <c r="BS51" s="134">
        <f>AP51</f>
        <v>0</v>
      </c>
      <c r="BT51" s="134">
        <f t="shared" ref="BT51:BV51" si="55">AQ51</f>
        <v>0</v>
      </c>
      <c r="BU51" s="134">
        <f t="shared" si="55"/>
        <v>0</v>
      </c>
      <c r="BV51" s="134">
        <f t="shared" si="55"/>
        <v>0</v>
      </c>
    </row>
    <row r="52" spans="1:74" s="42" customFormat="1" x14ac:dyDescent="0.4">
      <c r="A52" s="16"/>
      <c r="B52" s="22" t="s">
        <v>44</v>
      </c>
      <c r="C52" s="40"/>
      <c r="D52" s="40">
        <f>10+10+102.47+363.13+390.6+582.66+36.67+136.25+453.63+485.71+125+272.79</f>
        <v>2968.9100000000003</v>
      </c>
      <c r="E52" s="40"/>
      <c r="F52" s="40"/>
      <c r="G52" s="40">
        <f>136.25+523.34+663.91+430</f>
        <v>1753.5</v>
      </c>
      <c r="H52" s="39"/>
      <c r="I52" s="54">
        <v>1753.5</v>
      </c>
      <c r="J52" s="54"/>
      <c r="K52" s="26"/>
      <c r="L52" s="107"/>
      <c r="M52" s="49"/>
      <c r="N52" s="54"/>
      <c r="O52" s="125">
        <v>150</v>
      </c>
      <c r="P52" s="76"/>
      <c r="Q52" s="80">
        <v>810</v>
      </c>
      <c r="R52" s="170">
        <v>6.98</v>
      </c>
      <c r="S52" s="120"/>
      <c r="T52" s="54">
        <f>SUM(O52:S52)</f>
        <v>966.98</v>
      </c>
      <c r="U52" s="157">
        <v>50.5</v>
      </c>
      <c r="V52" s="120"/>
      <c r="W52" s="103"/>
      <c r="X52" s="111">
        <f>60+310</f>
        <v>370</v>
      </c>
      <c r="Y52" s="111">
        <f>SUM(U52:X52)</f>
        <v>420.5</v>
      </c>
      <c r="Z52" s="103"/>
      <c r="AB52" s="49"/>
      <c r="AC52" s="49"/>
      <c r="AD52" s="155"/>
      <c r="AE52" s="54">
        <f>1700+64.39</f>
        <v>1764.39</v>
      </c>
      <c r="AF52" s="49"/>
      <c r="AG52" s="116">
        <f>232.33+300</f>
        <v>532.33000000000004</v>
      </c>
      <c r="AH52" s="111">
        <v>30</v>
      </c>
      <c r="AI52" s="120"/>
      <c r="AJ52" s="54">
        <f>SUM(AE52:AI52)</f>
        <v>2326.7200000000003</v>
      </c>
      <c r="AK52" s="137"/>
      <c r="AL52" s="103"/>
      <c r="AM52" s="157"/>
      <c r="AN52" s="103"/>
      <c r="AO52" s="111">
        <v>100</v>
      </c>
      <c r="AP52" s="246"/>
      <c r="AQ52" s="137"/>
      <c r="AR52" s="156">
        <v>500</v>
      </c>
      <c r="AS52" s="117"/>
      <c r="AT52" s="116"/>
      <c r="AU52" s="257">
        <v>500</v>
      </c>
      <c r="AV52" s="246"/>
      <c r="AW52" s="137"/>
      <c r="AX52" s="54"/>
      <c r="AY52" s="54"/>
      <c r="AZ52" s="54"/>
      <c r="BA52" s="54"/>
      <c r="BB52" s="139">
        <v>500</v>
      </c>
      <c r="BC52" s="49"/>
      <c r="BD52" s="137"/>
      <c r="BE52" s="54"/>
      <c r="BF52" s="54"/>
      <c r="BG52" s="54"/>
      <c r="BH52" s="139">
        <v>500</v>
      </c>
      <c r="BI52" s="49"/>
      <c r="BJ52" s="60"/>
      <c r="BK52" s="139">
        <f>C52</f>
        <v>0</v>
      </c>
      <c r="BL52" s="139">
        <f>D52</f>
        <v>2968.9100000000003</v>
      </c>
      <c r="BM52" s="139">
        <f t="shared" si="54"/>
        <v>1753.5</v>
      </c>
      <c r="BN52" s="134">
        <v>500</v>
      </c>
      <c r="BO52" s="134">
        <v>500</v>
      </c>
      <c r="BP52" s="134">
        <v>500</v>
      </c>
      <c r="BQ52" s="134">
        <f>SUM(AE52:AE52)</f>
        <v>1764.39</v>
      </c>
      <c r="BR52" s="134">
        <v>500</v>
      </c>
      <c r="BS52" s="134">
        <f>AR52</f>
        <v>500</v>
      </c>
      <c r="BT52" s="134">
        <f>BS52</f>
        <v>500</v>
      </c>
      <c r="BU52" s="134">
        <f t="shared" ref="BU52:BV52" si="56">BT52</f>
        <v>500</v>
      </c>
      <c r="BV52" s="134">
        <f t="shared" si="56"/>
        <v>500</v>
      </c>
    </row>
    <row r="53" spans="1:74" s="42" customFormat="1" x14ac:dyDescent="0.4">
      <c r="A53" s="7"/>
      <c r="B53" s="22" t="s">
        <v>45</v>
      </c>
      <c r="C53" s="40">
        <v>2732.64</v>
      </c>
      <c r="D53" s="40">
        <v>2798.61</v>
      </c>
      <c r="E53" s="40">
        <v>19194.439999999999</v>
      </c>
      <c r="F53" s="40"/>
      <c r="G53" s="40"/>
      <c r="H53" s="40"/>
      <c r="I53" s="54">
        <v>19194.439999999999</v>
      </c>
      <c r="J53" s="54">
        <v>19371.990000000002</v>
      </c>
      <c r="K53" s="54"/>
      <c r="L53" s="54"/>
      <c r="M53" s="54"/>
      <c r="N53" s="54">
        <v>19371.990000000002</v>
      </c>
      <c r="O53" s="115">
        <v>19194.43</v>
      </c>
      <c r="P53" s="54"/>
      <c r="Q53" s="54"/>
      <c r="R53" s="154"/>
      <c r="S53" s="154"/>
      <c r="T53" s="54">
        <f>SUM(O53:S53)</f>
        <v>19194.43</v>
      </c>
      <c r="U53" s="157">
        <v>19185.41</v>
      </c>
      <c r="V53" s="193"/>
      <c r="W53" s="143"/>
      <c r="X53" s="143"/>
      <c r="Y53" s="111">
        <f>SUM(U53:X53)</f>
        <v>19185.41</v>
      </c>
      <c r="Z53" s="125">
        <v>19013.89</v>
      </c>
      <c r="AA53" s="148"/>
      <c r="AB53" s="145"/>
      <c r="AC53" s="134"/>
      <c r="AD53" s="125">
        <f>SUM(Z53:AC53)</f>
        <v>19013.89</v>
      </c>
      <c r="AE53" s="125">
        <v>18998.830000000002</v>
      </c>
      <c r="AF53" s="134"/>
      <c r="AG53" s="134"/>
      <c r="AH53" s="145"/>
      <c r="AI53" s="153"/>
      <c r="AJ53" s="54">
        <f>SUM(AE53:AI53)</f>
        <v>18998.830000000002</v>
      </c>
      <c r="AK53" s="137"/>
      <c r="AL53" s="125">
        <v>18819.439999999999</v>
      </c>
      <c r="AM53" s="145"/>
      <c r="AO53" s="145"/>
      <c r="AP53" s="49"/>
      <c r="AQ53" s="137"/>
      <c r="AR53" s="278">
        <f>AL53</f>
        <v>18819.439999999999</v>
      </c>
      <c r="AS53" s="49"/>
      <c r="AT53" s="107"/>
      <c r="AU53" s="172"/>
      <c r="AV53" s="246"/>
      <c r="AW53" s="137"/>
      <c r="AX53" s="49"/>
      <c r="AY53" s="139">
        <f>AR53</f>
        <v>18819.439999999999</v>
      </c>
      <c r="AZ53" s="49"/>
      <c r="BA53" s="49"/>
      <c r="BB53" s="49"/>
      <c r="BC53" s="49"/>
      <c r="BD53" s="137"/>
      <c r="BE53" s="139">
        <f>AY53</f>
        <v>18819.439999999999</v>
      </c>
      <c r="BF53" s="49"/>
      <c r="BG53" s="49"/>
      <c r="BH53" s="49"/>
      <c r="BI53" s="49"/>
      <c r="BJ53" s="60"/>
      <c r="BK53" s="139">
        <f>BE53</f>
        <v>18819.439999999999</v>
      </c>
      <c r="BL53" s="139">
        <f t="shared" ref="BL53:BR53" si="57">BK53</f>
        <v>18819.439999999999</v>
      </c>
      <c r="BM53" s="139">
        <f t="shared" si="57"/>
        <v>18819.439999999999</v>
      </c>
      <c r="BN53" s="134">
        <f t="shared" si="57"/>
        <v>18819.439999999999</v>
      </c>
      <c r="BO53" s="134">
        <f t="shared" si="57"/>
        <v>18819.439999999999</v>
      </c>
      <c r="BP53" s="134">
        <f t="shared" si="57"/>
        <v>18819.439999999999</v>
      </c>
      <c r="BQ53" s="134">
        <f t="shared" si="57"/>
        <v>18819.439999999999</v>
      </c>
      <c r="BR53" s="134">
        <f t="shared" si="57"/>
        <v>18819.439999999999</v>
      </c>
      <c r="BS53" s="134">
        <f>BR53</f>
        <v>18819.439999999999</v>
      </c>
      <c r="BT53" s="134">
        <f t="shared" ref="BT53:BV75" si="58">BS53</f>
        <v>18819.439999999999</v>
      </c>
      <c r="BU53" s="134">
        <f t="shared" si="58"/>
        <v>18819.439999999999</v>
      </c>
      <c r="BV53" s="134">
        <f t="shared" si="58"/>
        <v>18819.439999999999</v>
      </c>
    </row>
    <row r="54" spans="1:74" s="42" customFormat="1" x14ac:dyDescent="0.4">
      <c r="A54" s="16"/>
      <c r="B54" s="50"/>
      <c r="C54" s="77"/>
      <c r="D54" s="77"/>
      <c r="E54" s="78"/>
      <c r="F54" s="78"/>
      <c r="G54" s="77"/>
      <c r="H54" s="77"/>
      <c r="I54" s="79"/>
      <c r="J54" s="79"/>
      <c r="K54" s="79"/>
      <c r="L54" s="79"/>
      <c r="M54" s="79"/>
      <c r="N54" s="79"/>
      <c r="O54" s="79"/>
      <c r="P54" s="79"/>
      <c r="Q54" s="79"/>
      <c r="R54" s="162"/>
      <c r="S54" s="162"/>
      <c r="T54" s="162"/>
      <c r="U54" s="146"/>
      <c r="V54" s="196"/>
      <c r="W54" s="196"/>
      <c r="X54" s="196"/>
      <c r="Y54" s="146"/>
      <c r="Z54" s="196"/>
      <c r="AA54" s="162"/>
      <c r="AB54" s="146"/>
      <c r="AC54" s="162"/>
      <c r="AD54" s="146"/>
      <c r="AE54" s="147"/>
      <c r="AF54" s="218"/>
      <c r="AG54" s="218"/>
      <c r="AH54" s="218"/>
      <c r="AI54" s="218"/>
      <c r="AJ54" s="196"/>
      <c r="AK54" s="137"/>
      <c r="AL54" s="147"/>
      <c r="AM54" s="147"/>
      <c r="AN54" s="218"/>
      <c r="AO54" s="218"/>
      <c r="AP54" s="147"/>
      <c r="AQ54" s="137"/>
      <c r="AR54" s="279"/>
      <c r="AS54" s="147"/>
      <c r="AT54" s="147"/>
      <c r="AU54" s="248"/>
      <c r="AV54" s="147"/>
      <c r="AW54" s="137"/>
      <c r="AX54" s="147"/>
      <c r="AY54" s="147"/>
      <c r="AZ54" s="147"/>
      <c r="BA54" s="147"/>
      <c r="BB54" s="147"/>
      <c r="BC54" s="147"/>
      <c r="BD54" s="137"/>
      <c r="BE54" s="147"/>
      <c r="BF54" s="147"/>
      <c r="BG54" s="147"/>
      <c r="BH54" s="147"/>
      <c r="BI54" s="147"/>
      <c r="BJ54" s="60"/>
      <c r="BK54" s="139"/>
      <c r="BL54" s="139"/>
      <c r="BM54" s="139"/>
      <c r="BN54" s="134"/>
      <c r="BO54" s="134"/>
      <c r="BP54" s="134"/>
      <c r="BQ54" s="134"/>
      <c r="BR54" s="134"/>
      <c r="BS54" s="134"/>
      <c r="BT54" s="134"/>
      <c r="BU54" s="134"/>
      <c r="BV54" s="134"/>
    </row>
    <row r="55" spans="1:74" s="42" customFormat="1" x14ac:dyDescent="0.4">
      <c r="A55" s="16"/>
      <c r="B55" s="22" t="s">
        <v>46</v>
      </c>
      <c r="C55" s="39"/>
      <c r="D55" s="39"/>
      <c r="E55" s="40"/>
      <c r="F55" s="40"/>
      <c r="G55" s="39"/>
      <c r="H55" s="39"/>
      <c r="I55" s="26"/>
      <c r="J55" s="26"/>
      <c r="K55" s="26"/>
      <c r="L55" s="26"/>
      <c r="M55" s="54">
        <v>651.02</v>
      </c>
      <c r="N55" s="54">
        <v>651.02</v>
      </c>
      <c r="O55" s="26"/>
      <c r="P55" s="54">
        <f>371.87</f>
        <v>371.87</v>
      </c>
      <c r="Q55" s="114"/>
      <c r="R55" s="103"/>
      <c r="S55" s="111">
        <v>96</v>
      </c>
      <c r="T55" s="111">
        <f>SUM(O55:S55)</f>
        <v>467.87</v>
      </c>
      <c r="U55" s="26"/>
      <c r="V55" s="134"/>
      <c r="W55" s="134"/>
      <c r="X55" s="134"/>
      <c r="Y55" s="134"/>
      <c r="Z55" s="197"/>
      <c r="AA55" s="111">
        <f>454.49+514.16</f>
        <v>968.65</v>
      </c>
      <c r="AB55" s="79"/>
      <c r="AC55" s="103"/>
      <c r="AD55" s="239">
        <f>SUM(Z55:AC55)</f>
        <v>968.65</v>
      </c>
      <c r="AE55" s="116">
        <v>1742.22</v>
      </c>
      <c r="AF55" s="103"/>
      <c r="AG55" s="157">
        <f>600+784.99</f>
        <v>1384.99</v>
      </c>
      <c r="AH55" s="111">
        <f>333.68+596.6</f>
        <v>930.28</v>
      </c>
      <c r="AI55" s="103"/>
      <c r="AJ55" s="115">
        <f>SUM(AE55:AI55)</f>
        <v>4057.49</v>
      </c>
      <c r="AK55" s="137"/>
      <c r="AL55" s="49"/>
      <c r="AM55" s="80">
        <v>682.51</v>
      </c>
      <c r="AN55" s="178"/>
      <c r="AO55" s="111">
        <f>1021.43</f>
        <v>1021.43</v>
      </c>
      <c r="AP55" s="246"/>
      <c r="AQ55" s="137"/>
      <c r="AR55" s="268">
        <f>347.49</f>
        <v>347.49</v>
      </c>
      <c r="AS55" s="49"/>
      <c r="AT55" s="139">
        <v>7000</v>
      </c>
      <c r="AU55" s="49"/>
      <c r="AV55" s="49"/>
      <c r="AW55" s="137"/>
      <c r="AX55" s="49"/>
      <c r="AY55" s="49"/>
      <c r="AZ55" s="49"/>
      <c r="BA55" s="139">
        <f>+AT55</f>
        <v>7000</v>
      </c>
      <c r="BB55" s="49"/>
      <c r="BC55" s="49"/>
      <c r="BD55" s="137"/>
      <c r="BE55" s="49"/>
      <c r="BF55" s="49"/>
      <c r="BG55" s="139">
        <f>+BA55</f>
        <v>7000</v>
      </c>
      <c r="BH55" s="49"/>
      <c r="BI55" s="49"/>
      <c r="BJ55" s="130"/>
      <c r="BK55" s="139">
        <v>7000</v>
      </c>
      <c r="BL55" s="139">
        <f t="shared" ref="BL55:BM55" si="59">BK55</f>
        <v>7000</v>
      </c>
      <c r="BM55" s="139">
        <f t="shared" si="59"/>
        <v>7000</v>
      </c>
      <c r="BN55" s="134">
        <f t="shared" ref="BN55:BP57" si="60">BM55</f>
        <v>7000</v>
      </c>
      <c r="BO55" s="134">
        <f t="shared" si="60"/>
        <v>7000</v>
      </c>
      <c r="BP55" s="134">
        <f>BO55</f>
        <v>7000</v>
      </c>
      <c r="BQ55" s="134">
        <v>10000</v>
      </c>
      <c r="BR55" s="134">
        <v>10000</v>
      </c>
      <c r="BS55" s="134">
        <v>10000</v>
      </c>
      <c r="BT55" s="134">
        <v>7000</v>
      </c>
      <c r="BU55" s="134">
        <v>7000</v>
      </c>
      <c r="BV55" s="134">
        <v>5000</v>
      </c>
    </row>
    <row r="56" spans="1:74" s="42" customFormat="1" x14ac:dyDescent="0.4">
      <c r="A56" s="16"/>
      <c r="B56" s="22" t="s">
        <v>47</v>
      </c>
      <c r="C56" s="40">
        <v>9659.74</v>
      </c>
      <c r="D56" s="40">
        <v>8129.52</v>
      </c>
      <c r="E56" s="60"/>
      <c r="F56" s="40"/>
      <c r="G56" s="40">
        <v>9788.24</v>
      </c>
      <c r="H56" s="39"/>
      <c r="I56" s="54">
        <v>9788.24</v>
      </c>
      <c r="J56" s="26"/>
      <c r="K56" s="26"/>
      <c r="L56" s="26"/>
      <c r="M56" s="54">
        <v>19685.439999999999</v>
      </c>
      <c r="N56" s="54">
        <v>19685.439999999999</v>
      </c>
      <c r="O56" s="26"/>
      <c r="P56" s="108"/>
      <c r="Q56" s="103"/>
      <c r="R56" s="163">
        <v>14313.62</v>
      </c>
      <c r="S56" s="150"/>
      <c r="T56" s="54">
        <f>SUM(O56:S56)</f>
        <v>14313.62</v>
      </c>
      <c r="U56" s="134"/>
      <c r="V56" s="134"/>
      <c r="W56" s="109">
        <v>23672.240000000002</v>
      </c>
      <c r="X56" s="211"/>
      <c r="Y56" s="111">
        <f>SUM(U56:X56)</f>
        <v>23672.240000000002</v>
      </c>
      <c r="Z56" s="134"/>
      <c r="AA56" s="145"/>
      <c r="AB56" s="134"/>
      <c r="AC56" s="115">
        <v>17975.759999999998</v>
      </c>
      <c r="AD56" s="238">
        <f>SUM(Z56:AC56)</f>
        <v>17975.759999999998</v>
      </c>
      <c r="AE56" s="49"/>
      <c r="AF56" s="145"/>
      <c r="AG56" s="145"/>
      <c r="AH56" s="115">
        <v>12530.28</v>
      </c>
      <c r="AI56" s="145"/>
      <c r="AJ56" s="115">
        <f>SUM(AE56:AI56)</f>
        <v>12530.28</v>
      </c>
      <c r="AK56" s="137"/>
      <c r="AL56" s="49"/>
      <c r="AM56" s="134"/>
      <c r="AN56" s="145"/>
      <c r="AO56" s="115">
        <v>10923.33</v>
      </c>
      <c r="AP56" s="49"/>
      <c r="AQ56" s="137"/>
      <c r="AR56" s="268"/>
      <c r="AS56" s="49"/>
      <c r="AT56" s="49"/>
      <c r="AU56" s="139">
        <f>+AO56</f>
        <v>10923.33</v>
      </c>
      <c r="AV56" s="49"/>
      <c r="AW56" s="137"/>
      <c r="AX56" s="49"/>
      <c r="AY56" s="49"/>
      <c r="AZ56" s="49"/>
      <c r="BA56" s="49"/>
      <c r="BB56" s="139">
        <f>+AU56</f>
        <v>10923.33</v>
      </c>
      <c r="BC56" s="49"/>
      <c r="BD56" s="137"/>
      <c r="BE56" s="49"/>
      <c r="BF56" s="49"/>
      <c r="BG56" s="49"/>
      <c r="BH56" s="139">
        <f>+BB56</f>
        <v>10923.33</v>
      </c>
      <c r="BI56" s="49"/>
      <c r="BJ56" s="130"/>
      <c r="BK56" s="139">
        <f>BH56</f>
        <v>10923.33</v>
      </c>
      <c r="BL56" s="139">
        <f t="shared" ref="BL56:BM56" si="61">BK56</f>
        <v>10923.33</v>
      </c>
      <c r="BM56" s="139">
        <f t="shared" si="61"/>
        <v>10923.33</v>
      </c>
      <c r="BN56" s="134">
        <f t="shared" si="60"/>
        <v>10923.33</v>
      </c>
      <c r="BO56" s="134">
        <f t="shared" si="60"/>
        <v>10923.33</v>
      </c>
      <c r="BP56" s="134">
        <f t="shared" si="60"/>
        <v>10923.33</v>
      </c>
      <c r="BQ56" s="134">
        <v>12000</v>
      </c>
      <c r="BR56" s="134">
        <f>BQ56</f>
        <v>12000</v>
      </c>
      <c r="BS56" s="134">
        <v>12000</v>
      </c>
      <c r="BT56" s="134">
        <f t="shared" si="58"/>
        <v>12000</v>
      </c>
      <c r="BU56" s="134">
        <v>100000</v>
      </c>
      <c r="BV56" s="134">
        <v>150000</v>
      </c>
    </row>
    <row r="57" spans="1:74" s="42" customFormat="1" x14ac:dyDescent="0.4">
      <c r="A57" s="16"/>
      <c r="B57" s="22" t="s">
        <v>48</v>
      </c>
      <c r="C57" s="39"/>
      <c r="D57" s="40"/>
      <c r="E57" s="40"/>
      <c r="F57" s="40"/>
      <c r="G57" s="39"/>
      <c r="H57" s="39"/>
      <c r="I57" s="26"/>
      <c r="J57" s="26"/>
      <c r="K57" s="26"/>
      <c r="L57" s="26"/>
      <c r="M57" s="26"/>
      <c r="N57" s="26"/>
      <c r="O57" s="26"/>
      <c r="P57" s="108"/>
      <c r="Q57" s="72"/>
      <c r="R57" s="143"/>
      <c r="S57" s="148"/>
      <c r="T57" s="148"/>
      <c r="U57" s="134"/>
      <c r="V57" s="197"/>
      <c r="W57" s="103"/>
      <c r="X57" s="111">
        <v>2480</v>
      </c>
      <c r="Y57" s="111">
        <f>SUM(U57:X57)</f>
        <v>2480</v>
      </c>
      <c r="Z57" s="134"/>
      <c r="AA57" s="134"/>
      <c r="AB57" s="134"/>
      <c r="AC57" s="134"/>
      <c r="AD57" s="238"/>
      <c r="AE57" s="134"/>
      <c r="AF57" s="134"/>
      <c r="AG57" s="134"/>
      <c r="AH57" s="134"/>
      <c r="AI57" s="134"/>
      <c r="AJ57" s="134"/>
      <c r="AK57" s="137"/>
      <c r="AL57" s="134"/>
      <c r="AM57" s="134"/>
      <c r="AN57" s="134"/>
      <c r="AO57" s="134"/>
      <c r="AP57" s="49"/>
      <c r="AQ57" s="137"/>
      <c r="AR57" s="140"/>
      <c r="AS57" s="134"/>
      <c r="AT57" s="134"/>
      <c r="AU57" s="139">
        <v>2000</v>
      </c>
      <c r="AV57" s="49"/>
      <c r="AW57" s="137"/>
      <c r="AX57" s="134"/>
      <c r="AY57" s="134"/>
      <c r="AZ57" s="134"/>
      <c r="BA57" s="134"/>
      <c r="BB57" s="139">
        <v>2000</v>
      </c>
      <c r="BC57" s="49"/>
      <c r="BD57" s="137"/>
      <c r="BE57" s="134"/>
      <c r="BF57" s="134"/>
      <c r="BG57" s="134"/>
      <c r="BH57" s="139">
        <v>2000</v>
      </c>
      <c r="BI57" s="49"/>
      <c r="BJ57" s="130"/>
      <c r="BK57" s="139">
        <v>2000</v>
      </c>
      <c r="BL57" s="139">
        <f t="shared" ref="BL57:BM57" si="62">BK57</f>
        <v>2000</v>
      </c>
      <c r="BM57" s="139">
        <f t="shared" si="62"/>
        <v>2000</v>
      </c>
      <c r="BN57" s="134">
        <f t="shared" si="60"/>
        <v>2000</v>
      </c>
      <c r="BO57" s="134">
        <f t="shared" si="60"/>
        <v>2000</v>
      </c>
      <c r="BP57" s="134">
        <f t="shared" si="60"/>
        <v>2000</v>
      </c>
      <c r="BQ57" s="134">
        <f>BP57</f>
        <v>2000</v>
      </c>
      <c r="BR57" s="134">
        <f t="shared" ref="BR57:BV57" si="63">BQ57</f>
        <v>2000</v>
      </c>
      <c r="BS57" s="134">
        <f t="shared" si="63"/>
        <v>2000</v>
      </c>
      <c r="BT57" s="134">
        <f t="shared" si="63"/>
        <v>2000</v>
      </c>
      <c r="BU57" s="134">
        <f t="shared" si="63"/>
        <v>2000</v>
      </c>
      <c r="BV57" s="134">
        <f t="shared" si="63"/>
        <v>2000</v>
      </c>
    </row>
    <row r="58" spans="1:74" s="42" customFormat="1" x14ac:dyDescent="0.4">
      <c r="A58" s="16"/>
      <c r="B58" s="50"/>
      <c r="C58" s="77"/>
      <c r="D58" s="77"/>
      <c r="E58" s="78"/>
      <c r="F58" s="78"/>
      <c r="G58" s="77"/>
      <c r="H58" s="77"/>
      <c r="I58" s="79"/>
      <c r="J58" s="79"/>
      <c r="K58" s="79"/>
      <c r="L58" s="79"/>
      <c r="M58" s="79"/>
      <c r="N58" s="79"/>
      <c r="O58" s="79"/>
      <c r="P58" s="79"/>
      <c r="Q58" s="61"/>
      <c r="R58" s="104"/>
      <c r="S58" s="122"/>
      <c r="T58" s="122"/>
      <c r="U58" s="122"/>
      <c r="V58" s="122"/>
      <c r="W58" s="104"/>
      <c r="X58" s="104"/>
      <c r="Y58" s="79"/>
      <c r="Z58" s="79"/>
      <c r="AA58" s="79"/>
      <c r="AB58" s="79"/>
      <c r="AC58" s="79"/>
      <c r="AD58" s="240"/>
      <c r="AE58" s="132"/>
      <c r="AF58" s="132"/>
      <c r="AG58" s="132"/>
      <c r="AH58" s="132"/>
      <c r="AI58" s="132"/>
      <c r="AJ58" s="79"/>
      <c r="AK58"/>
      <c r="AL58" s="132"/>
      <c r="AM58" s="132"/>
      <c r="AN58" s="266"/>
      <c r="AO58" s="266"/>
      <c r="AP58" s="132"/>
      <c r="AQ58"/>
      <c r="AR58" s="280"/>
      <c r="AS58" s="132"/>
      <c r="AT58" s="132"/>
      <c r="AU58" s="132"/>
      <c r="AV58" s="132"/>
      <c r="AW58"/>
      <c r="AX58" s="132"/>
      <c r="AY58" s="132"/>
      <c r="AZ58" s="132"/>
      <c r="BA58" s="132"/>
      <c r="BB58" s="132"/>
      <c r="BC58" s="132"/>
      <c r="BD58"/>
      <c r="BE58" s="132"/>
      <c r="BF58" s="132"/>
      <c r="BG58" s="132"/>
      <c r="BH58" s="132"/>
      <c r="BI58" s="132"/>
      <c r="BJ58" s="60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</row>
    <row r="59" spans="1:74" s="42" customFormat="1" x14ac:dyDescent="0.4">
      <c r="A59" s="16"/>
      <c r="B59" s="50"/>
      <c r="C59" s="77"/>
      <c r="D59" s="77"/>
      <c r="E59" s="78"/>
      <c r="F59" s="78"/>
      <c r="G59" s="77"/>
      <c r="H59" s="77"/>
      <c r="I59" s="79"/>
      <c r="J59" s="79"/>
      <c r="K59" s="79"/>
      <c r="L59" s="79"/>
      <c r="M59" s="79"/>
      <c r="N59" s="79"/>
      <c r="O59" s="79"/>
      <c r="P59" s="79"/>
      <c r="Q59" s="122"/>
      <c r="R59" s="104"/>
      <c r="S59" s="104"/>
      <c r="T59" s="104"/>
      <c r="U59" s="104"/>
      <c r="V59" s="104"/>
      <c r="W59" s="131"/>
      <c r="X59" s="79"/>
      <c r="Y59" s="79"/>
      <c r="Z59" s="79"/>
      <c r="AA59" s="79"/>
      <c r="AB59" s="131"/>
      <c r="AC59" s="162"/>
      <c r="AD59" s="240"/>
      <c r="AE59" s="218"/>
      <c r="AF59" s="218"/>
      <c r="AG59" s="218"/>
      <c r="AH59" s="147"/>
      <c r="AI59" s="147"/>
      <c r="AJ59" s="79"/>
      <c r="AK59" s="137"/>
      <c r="AL59" s="218"/>
      <c r="AM59" s="218"/>
      <c r="AN59" s="147"/>
      <c r="AO59" s="147"/>
      <c r="AP59" s="147"/>
      <c r="AQ59" s="137"/>
      <c r="AR59" s="281"/>
      <c r="AS59" s="218"/>
      <c r="AT59" s="218"/>
      <c r="AU59" s="218"/>
      <c r="AV59" s="147"/>
      <c r="AW59" s="137"/>
      <c r="AX59" s="218"/>
      <c r="AY59" s="218"/>
      <c r="AZ59" s="218"/>
      <c r="BA59" s="218"/>
      <c r="BB59" s="218"/>
      <c r="BC59" s="147"/>
      <c r="BD59" s="137"/>
      <c r="BE59" s="218"/>
      <c r="BF59" s="218"/>
      <c r="BG59" s="218"/>
      <c r="BH59" s="218"/>
      <c r="BI59" s="147"/>
      <c r="BJ59" s="60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</row>
    <row r="60" spans="1:74" s="42" customFormat="1" ht="17.7" customHeight="1" x14ac:dyDescent="0.4">
      <c r="A60" s="16"/>
      <c r="B60" s="29" t="s">
        <v>114</v>
      </c>
      <c r="C60" s="40">
        <v>264.08999999999997</v>
      </c>
      <c r="D60" s="40">
        <v>264.24</v>
      </c>
      <c r="E60" s="40"/>
      <c r="F60" s="39"/>
      <c r="G60" s="39"/>
      <c r="H60" s="105">
        <v>264.24</v>
      </c>
      <c r="I60" s="40">
        <v>264.24</v>
      </c>
      <c r="J60" s="69"/>
      <c r="K60" s="69"/>
      <c r="L60" s="69"/>
      <c r="M60" s="109">
        <v>286.77999999999997</v>
      </c>
      <c r="N60" s="109">
        <v>286.77999999999997</v>
      </c>
      <c r="O60" s="26"/>
      <c r="P60" s="26"/>
      <c r="Q60" s="26"/>
      <c r="R60" s="163">
        <v>298.33999999999997</v>
      </c>
      <c r="S60" s="200"/>
      <c r="T60" s="201">
        <f>SUM(O60:S60)</f>
        <v>298.33999999999997</v>
      </c>
      <c r="U60" s="143"/>
      <c r="V60" s="143"/>
      <c r="W60" s="134"/>
      <c r="X60" s="54">
        <v>298.33999999999997</v>
      </c>
      <c r="Y60" s="111">
        <f>SUM(U60:X60)</f>
        <v>298.33999999999997</v>
      </c>
      <c r="Z60" s="134"/>
      <c r="AA60" s="134"/>
      <c r="AB60" s="197"/>
      <c r="AC60" s="210">
        <v>298.33999999999997</v>
      </c>
      <c r="AD60" s="238">
        <f t="shared" ref="AD60" si="64">SUM(Z60:AC60)</f>
        <v>298.33999999999997</v>
      </c>
      <c r="AE60" s="97"/>
      <c r="AF60" s="134"/>
      <c r="AG60" s="197"/>
      <c r="AH60" s="103"/>
      <c r="AI60" s="210">
        <v>299.23</v>
      </c>
      <c r="AJ60" s="54">
        <f>SUM(AE60:AI60)</f>
        <v>299.23</v>
      </c>
      <c r="AK60" s="137"/>
      <c r="AL60" s="97"/>
      <c r="AM60" s="145"/>
      <c r="AN60" s="217"/>
      <c r="AO60" s="109">
        <v>299.23</v>
      </c>
      <c r="AP60" s="49"/>
      <c r="AQ60" s="137"/>
      <c r="AR60" s="268"/>
      <c r="AS60" s="49"/>
      <c r="AT60" s="49"/>
      <c r="AU60" s="139">
        <f>+AO60</f>
        <v>299.23</v>
      </c>
      <c r="AV60" s="49"/>
      <c r="AW60" s="137"/>
      <c r="AX60" s="49"/>
      <c r="AY60" s="49"/>
      <c r="AZ60" s="49"/>
      <c r="BA60" s="107"/>
      <c r="BB60" s="139">
        <f>+AU60</f>
        <v>299.23</v>
      </c>
      <c r="BC60" s="49"/>
      <c r="BD60" s="137"/>
      <c r="BE60" s="49"/>
      <c r="BF60" s="49"/>
      <c r="BG60" s="49"/>
      <c r="BH60" s="139">
        <f>+BB60</f>
        <v>299.23</v>
      </c>
      <c r="BI60" s="49"/>
      <c r="BJ60" s="60"/>
      <c r="BK60" s="139">
        <f>BH60</f>
        <v>299.23</v>
      </c>
      <c r="BL60" s="139">
        <f>BK60</f>
        <v>299.23</v>
      </c>
      <c r="BM60" s="139">
        <f t="shared" ref="BM60:BV60" si="65">BL60</f>
        <v>299.23</v>
      </c>
      <c r="BN60" s="139">
        <f t="shared" si="65"/>
        <v>299.23</v>
      </c>
      <c r="BO60" s="139">
        <f t="shared" si="65"/>
        <v>299.23</v>
      </c>
      <c r="BP60" s="139">
        <f t="shared" si="65"/>
        <v>299.23</v>
      </c>
      <c r="BQ60" s="139">
        <f t="shared" si="65"/>
        <v>299.23</v>
      </c>
      <c r="BR60" s="139">
        <f t="shared" si="65"/>
        <v>299.23</v>
      </c>
      <c r="BS60" s="139">
        <f t="shared" si="65"/>
        <v>299.23</v>
      </c>
      <c r="BT60" s="139">
        <f t="shared" si="65"/>
        <v>299.23</v>
      </c>
      <c r="BU60" s="139">
        <f t="shared" si="65"/>
        <v>299.23</v>
      </c>
      <c r="BV60" s="139">
        <f t="shared" si="65"/>
        <v>299.23</v>
      </c>
    </row>
    <row r="61" spans="1:74" s="42" customFormat="1" ht="17.7" customHeight="1" x14ac:dyDescent="0.4">
      <c r="A61" s="7"/>
      <c r="B61" s="29" t="s">
        <v>115</v>
      </c>
      <c r="C61" s="40">
        <v>150</v>
      </c>
      <c r="D61" s="40"/>
      <c r="E61" s="40"/>
      <c r="F61" s="39"/>
      <c r="G61" s="39"/>
      <c r="H61" s="60"/>
      <c r="I61" s="54"/>
      <c r="J61" s="54">
        <v>7756.5</v>
      </c>
      <c r="K61" s="26"/>
      <c r="L61" s="26"/>
      <c r="M61" s="49"/>
      <c r="N61" s="54">
        <v>8000</v>
      </c>
      <c r="O61" s="26"/>
      <c r="P61" s="69"/>
      <c r="Q61" s="107"/>
      <c r="R61" s="124"/>
      <c r="S61" s="120"/>
      <c r="T61" s="49"/>
      <c r="U61" s="111">
        <f>3810+3810</f>
        <v>7620</v>
      </c>
      <c r="V61" s="103"/>
      <c r="W61" s="138"/>
      <c r="X61" s="138"/>
      <c r="Y61" s="111">
        <v>8000</v>
      </c>
      <c r="Z61" s="134"/>
      <c r="AA61" s="138"/>
      <c r="AB61" s="195"/>
      <c r="AC61" s="111">
        <f>2245+1920</f>
        <v>4165</v>
      </c>
      <c r="AD61" s="238">
        <v>4000</v>
      </c>
      <c r="AE61" s="103"/>
      <c r="AF61" s="148"/>
      <c r="AG61" s="197"/>
      <c r="AH61" s="208"/>
      <c r="AI61" s="103"/>
      <c r="AJ61" s="54"/>
      <c r="AK61" s="137"/>
      <c r="AL61" s="111">
        <v>3000</v>
      </c>
      <c r="AM61" s="162"/>
      <c r="AN61" s="124"/>
      <c r="AO61" s="103"/>
      <c r="AP61" s="246"/>
      <c r="AQ61" s="137"/>
      <c r="AR61" s="268"/>
      <c r="AS61" s="111">
        <v>2000</v>
      </c>
      <c r="AT61" s="139"/>
      <c r="AU61" s="49"/>
      <c r="AV61" s="49"/>
      <c r="AW61" s="137"/>
      <c r="AX61" s="49"/>
      <c r="AY61" s="49"/>
      <c r="AZ61" s="139">
        <v>2000</v>
      </c>
      <c r="BA61" s="107"/>
      <c r="BB61" s="49"/>
      <c r="BC61" s="49"/>
      <c r="BD61" s="137"/>
      <c r="BE61" s="49"/>
      <c r="BF61" s="139">
        <v>4000</v>
      </c>
      <c r="BG61" s="49"/>
      <c r="BH61" s="49"/>
      <c r="BI61" s="49"/>
      <c r="BJ61" s="60"/>
      <c r="BK61" s="139">
        <v>3000</v>
      </c>
      <c r="BL61" s="139">
        <f>BK61</f>
        <v>3000</v>
      </c>
      <c r="BM61" s="139">
        <f>BL61</f>
        <v>3000</v>
      </c>
      <c r="BN61" s="134">
        <f t="shared" ref="BN61:BP62" si="66">BM61</f>
        <v>3000</v>
      </c>
      <c r="BO61" s="134">
        <f t="shared" si="66"/>
        <v>3000</v>
      </c>
      <c r="BP61" s="134">
        <f t="shared" si="66"/>
        <v>3000</v>
      </c>
      <c r="BQ61" s="134">
        <v>5000</v>
      </c>
      <c r="BR61" s="134">
        <f>BQ61</f>
        <v>5000</v>
      </c>
      <c r="BS61" s="134">
        <f t="shared" ref="BS61" si="67">BR61</f>
        <v>5000</v>
      </c>
      <c r="BT61" s="134">
        <f t="shared" si="58"/>
        <v>5000</v>
      </c>
      <c r="BU61" s="134">
        <f t="shared" si="58"/>
        <v>5000</v>
      </c>
      <c r="BV61" s="134">
        <f t="shared" si="58"/>
        <v>5000</v>
      </c>
    </row>
    <row r="62" spans="1:74" s="42" customFormat="1" ht="17.7" customHeight="1" x14ac:dyDescent="0.4">
      <c r="A62" s="16"/>
      <c r="B62" s="29" t="s">
        <v>49</v>
      </c>
      <c r="C62" s="40">
        <f>55.2</f>
        <v>55.2</v>
      </c>
      <c r="D62" s="40">
        <v>47.62</v>
      </c>
      <c r="E62" s="60"/>
      <c r="F62" s="39"/>
      <c r="G62" s="40">
        <v>36.83</v>
      </c>
      <c r="H62" s="70"/>
      <c r="I62" s="40">
        <v>36.83</v>
      </c>
      <c r="J62" s="106"/>
      <c r="K62" s="26"/>
      <c r="L62" s="26"/>
      <c r="M62" s="26"/>
      <c r="N62" s="106"/>
      <c r="O62" s="118"/>
      <c r="P62" s="103"/>
      <c r="Q62" s="54">
        <v>1104.9000000000001</v>
      </c>
      <c r="R62" s="120"/>
      <c r="S62" s="120"/>
      <c r="T62" s="201">
        <f>SUM(O62:S62)</f>
        <v>1104.9000000000001</v>
      </c>
      <c r="U62" s="103"/>
      <c r="W62" s="120"/>
      <c r="X62" s="103"/>
      <c r="Y62" s="148"/>
      <c r="Z62" s="222"/>
      <c r="AA62" s="103"/>
      <c r="AB62" s="143"/>
      <c r="AC62" s="173"/>
      <c r="AD62" s="238"/>
      <c r="AE62" s="232"/>
      <c r="AF62" s="134"/>
      <c r="AG62" s="116">
        <f>101.28+92.07</f>
        <v>193.35</v>
      </c>
      <c r="AH62" s="221"/>
      <c r="AI62" s="173"/>
      <c r="AJ62" s="54">
        <f>SUM(AE62:AI62)</f>
        <v>193.35</v>
      </c>
      <c r="AK62" s="137"/>
      <c r="AL62" s="158"/>
      <c r="AM62" s="103"/>
      <c r="AN62" s="111">
        <v>92.07</v>
      </c>
      <c r="AO62" s="150"/>
      <c r="AP62" s="49"/>
      <c r="AQ62" s="137"/>
      <c r="AR62" s="116"/>
      <c r="AS62" s="108"/>
      <c r="AT62" s="26"/>
      <c r="AU62" s="39">
        <f>82.87</f>
        <v>82.87</v>
      </c>
      <c r="AV62" s="49"/>
      <c r="AW62" s="137"/>
      <c r="AX62" s="108"/>
      <c r="AY62" s="108"/>
      <c r="AZ62" s="108"/>
      <c r="BA62" s="108"/>
      <c r="BB62" s="139">
        <f>+AU62</f>
        <v>82.87</v>
      </c>
      <c r="BC62" s="49"/>
      <c r="BD62" s="137"/>
      <c r="BE62" s="26"/>
      <c r="BF62" s="26"/>
      <c r="BG62" s="26"/>
      <c r="BH62" s="139">
        <f>+BB62</f>
        <v>82.87</v>
      </c>
      <c r="BI62" s="49"/>
      <c r="BJ62" s="60"/>
      <c r="BK62" s="139">
        <v>100</v>
      </c>
      <c r="BL62" s="139">
        <f>BK62</f>
        <v>100</v>
      </c>
      <c r="BM62" s="139">
        <f t="shared" ref="BM62" si="68">BL62</f>
        <v>100</v>
      </c>
      <c r="BN62" s="139">
        <f t="shared" si="66"/>
        <v>100</v>
      </c>
      <c r="BO62" s="139">
        <f t="shared" si="66"/>
        <v>100</v>
      </c>
      <c r="BP62" s="139">
        <f t="shared" si="66"/>
        <v>100</v>
      </c>
      <c r="BQ62" s="139">
        <f t="shared" ref="BQ62:BV62" si="69">BP62</f>
        <v>100</v>
      </c>
      <c r="BR62" s="139">
        <f t="shared" si="69"/>
        <v>100</v>
      </c>
      <c r="BS62" s="139">
        <f t="shared" si="69"/>
        <v>100</v>
      </c>
      <c r="BT62" s="139">
        <f t="shared" si="69"/>
        <v>100</v>
      </c>
      <c r="BU62" s="139">
        <f t="shared" si="69"/>
        <v>100</v>
      </c>
      <c r="BV62" s="139">
        <f t="shared" si="69"/>
        <v>100</v>
      </c>
    </row>
    <row r="63" spans="1:74" s="42" customFormat="1" ht="17.7" customHeight="1" x14ac:dyDescent="0.4">
      <c r="A63" s="16"/>
      <c r="B63" s="29" t="s">
        <v>116</v>
      </c>
      <c r="C63" s="40">
        <v>6000</v>
      </c>
      <c r="D63" s="40">
        <v>6000</v>
      </c>
      <c r="E63" s="40"/>
      <c r="F63" s="39"/>
      <c r="G63" s="39"/>
      <c r="H63" s="105">
        <v>6220</v>
      </c>
      <c r="I63" s="40">
        <v>6000</v>
      </c>
      <c r="J63" s="106"/>
      <c r="K63" s="26"/>
      <c r="L63" s="26"/>
      <c r="M63" s="54">
        <v>6220.04</v>
      </c>
      <c r="N63" s="40">
        <v>6000</v>
      </c>
      <c r="O63" s="49"/>
      <c r="P63" s="26"/>
      <c r="Q63" s="114"/>
      <c r="R63" s="160"/>
      <c r="S63" s="164">
        <v>6220.04</v>
      </c>
      <c r="T63" s="40">
        <v>6000</v>
      </c>
      <c r="U63" s="145"/>
      <c r="V63" s="153"/>
      <c r="W63" s="216"/>
      <c r="X63" s="117">
        <v>6220.04</v>
      </c>
      <c r="Y63" s="40">
        <v>6000</v>
      </c>
      <c r="Z63" s="134"/>
      <c r="AA63" s="195"/>
      <c r="AB63" s="233"/>
      <c r="AC63" s="103"/>
      <c r="AD63" s="40">
        <v>6000</v>
      </c>
      <c r="AE63" s="111">
        <v>6220.04</v>
      </c>
      <c r="AF63" s="148"/>
      <c r="AG63" s="138"/>
      <c r="AH63" s="138"/>
      <c r="AI63" s="54">
        <v>6220.04</v>
      </c>
      <c r="AJ63" s="40">
        <v>6000</v>
      </c>
      <c r="AK63" s="137"/>
      <c r="AL63" s="49"/>
      <c r="AM63" s="134"/>
      <c r="AN63" s="197"/>
      <c r="AO63" s="40">
        <v>6000</v>
      </c>
      <c r="AP63" s="246"/>
      <c r="AQ63" s="137"/>
      <c r="AR63" s="178"/>
      <c r="AS63" s="246"/>
      <c r="AT63" s="49"/>
      <c r="AU63" s="139">
        <v>6300</v>
      </c>
      <c r="AV63" s="49"/>
      <c r="AW63" s="137"/>
      <c r="AX63" s="49"/>
      <c r="AY63" s="49"/>
      <c r="AZ63" s="49"/>
      <c r="BA63" s="107"/>
      <c r="BB63" s="139">
        <f>+AU63</f>
        <v>6300</v>
      </c>
      <c r="BC63" s="49"/>
      <c r="BD63" s="137"/>
      <c r="BE63" s="49"/>
      <c r="BF63" s="49"/>
      <c r="BG63" s="49"/>
      <c r="BH63" s="139">
        <f>+BB63</f>
        <v>6300</v>
      </c>
      <c r="BI63" s="49"/>
      <c r="BJ63" s="60"/>
      <c r="BK63" s="139">
        <v>6400</v>
      </c>
      <c r="BL63" s="139">
        <f t="shared" ref="BL63:BS63" si="70">BK63</f>
        <v>6400</v>
      </c>
      <c r="BM63" s="139">
        <f t="shared" si="70"/>
        <v>6400</v>
      </c>
      <c r="BN63" s="134">
        <f t="shared" si="70"/>
        <v>6400</v>
      </c>
      <c r="BO63" s="134">
        <f t="shared" si="70"/>
        <v>6400</v>
      </c>
      <c r="BP63" s="134">
        <f t="shared" si="70"/>
        <v>6400</v>
      </c>
      <c r="BQ63" s="134">
        <f t="shared" si="70"/>
        <v>6400</v>
      </c>
      <c r="BR63" s="134">
        <f t="shared" si="70"/>
        <v>6400</v>
      </c>
      <c r="BS63" s="134">
        <f t="shared" si="70"/>
        <v>6400</v>
      </c>
      <c r="BT63" s="134">
        <f t="shared" si="58"/>
        <v>6400</v>
      </c>
      <c r="BU63" s="134">
        <f t="shared" si="58"/>
        <v>6400</v>
      </c>
      <c r="BV63" s="134">
        <f t="shared" si="58"/>
        <v>6400</v>
      </c>
    </row>
    <row r="64" spans="1:74" s="42" customFormat="1" ht="18" customHeight="1" x14ac:dyDescent="0.4">
      <c r="A64" s="16"/>
      <c r="B64" s="29" t="s">
        <v>117</v>
      </c>
      <c r="C64" s="40">
        <v>5000</v>
      </c>
      <c r="D64" s="40">
        <v>5000</v>
      </c>
      <c r="E64" s="40"/>
      <c r="F64" s="40">
        <v>10000</v>
      </c>
      <c r="G64" s="60"/>
      <c r="H64" s="70"/>
      <c r="I64" s="40">
        <v>5000</v>
      </c>
      <c r="J64" s="54">
        <v>10000</v>
      </c>
      <c r="K64" s="26"/>
      <c r="L64" s="106"/>
      <c r="M64" s="54">
        <v>10000</v>
      </c>
      <c r="N64" s="40">
        <v>5000</v>
      </c>
      <c r="O64" s="75"/>
      <c r="P64" s="108"/>
      <c r="Q64" s="120"/>
      <c r="R64" s="111">
        <v>10000</v>
      </c>
      <c r="S64" s="161"/>
      <c r="T64" s="40">
        <v>5000</v>
      </c>
      <c r="U64" s="138"/>
      <c r="V64" s="138"/>
      <c r="W64" s="163">
        <v>10000</v>
      </c>
      <c r="X64" s="138"/>
      <c r="Y64" s="40">
        <v>5000</v>
      </c>
      <c r="Z64" s="138"/>
      <c r="AA64" s="163">
        <v>10000</v>
      </c>
      <c r="AB64" s="217"/>
      <c r="AC64" s="134"/>
      <c r="AD64" s="40">
        <v>5000</v>
      </c>
      <c r="AE64" s="49"/>
      <c r="AF64" s="197"/>
      <c r="AG64" s="210">
        <v>10000</v>
      </c>
      <c r="AI64" s="138"/>
      <c r="AJ64" s="40">
        <v>5000</v>
      </c>
      <c r="AK64" s="137"/>
      <c r="AL64" s="40">
        <v>5000</v>
      </c>
      <c r="AM64" s="173"/>
      <c r="AN64" s="217"/>
      <c r="AO64" s="163"/>
      <c r="AP64" s="49"/>
      <c r="AQ64" s="137"/>
      <c r="AR64" s="255">
        <v>5000</v>
      </c>
      <c r="AS64" s="49"/>
      <c r="AT64" s="49"/>
      <c r="AU64" s="139"/>
      <c r="AV64" s="49"/>
      <c r="AW64" s="137"/>
      <c r="AX64" s="138">
        <f>AR64</f>
        <v>5000</v>
      </c>
      <c r="AY64" s="49"/>
      <c r="AZ64" s="49"/>
      <c r="BA64" s="107"/>
      <c r="BB64" s="139"/>
      <c r="BC64" s="49"/>
      <c r="BD64" s="137"/>
      <c r="BE64" s="68">
        <f>AX64</f>
        <v>5000</v>
      </c>
      <c r="BF64" s="49"/>
      <c r="BG64" s="49"/>
      <c r="BH64" s="139"/>
      <c r="BI64" s="49"/>
      <c r="BJ64" s="60"/>
      <c r="BK64" s="139">
        <f>C64</f>
        <v>5000</v>
      </c>
      <c r="BL64" s="139">
        <f>D64</f>
        <v>5000</v>
      </c>
      <c r="BM64" s="139">
        <f>I64</f>
        <v>5000</v>
      </c>
      <c r="BN64" s="134">
        <f>J64</f>
        <v>10000</v>
      </c>
      <c r="BO64" s="134">
        <f t="shared" ref="BO64:BP64" si="71">BN64</f>
        <v>10000</v>
      </c>
      <c r="BP64" s="134">
        <f t="shared" si="71"/>
        <v>10000</v>
      </c>
      <c r="BQ64" s="134">
        <f>SUM(Z64:AC64)</f>
        <v>10000</v>
      </c>
      <c r="BR64" s="134">
        <f>BQ64*1.2</f>
        <v>12000</v>
      </c>
      <c r="BS64" s="134">
        <f>BR64</f>
        <v>12000</v>
      </c>
      <c r="BT64" s="134">
        <f t="shared" si="58"/>
        <v>12000</v>
      </c>
      <c r="BU64" s="134">
        <f t="shared" si="58"/>
        <v>12000</v>
      </c>
      <c r="BV64" s="134">
        <f t="shared" si="58"/>
        <v>12000</v>
      </c>
    </row>
    <row r="65" spans="1:74" s="42" customFormat="1" ht="16.75" customHeight="1" x14ac:dyDescent="0.4">
      <c r="A65" s="7"/>
      <c r="B65" s="7" t="s">
        <v>118</v>
      </c>
      <c r="C65" s="40"/>
      <c r="D65" s="40"/>
      <c r="E65" s="83"/>
      <c r="F65" s="39"/>
      <c r="G65" s="39"/>
      <c r="H65" s="70"/>
      <c r="I65" s="26"/>
      <c r="J65" s="26"/>
      <c r="K65" s="26"/>
      <c r="L65" s="26"/>
      <c r="M65" s="26"/>
      <c r="N65" s="26"/>
      <c r="O65" s="114"/>
      <c r="P65" s="103"/>
      <c r="Q65" s="117">
        <f>12840+2250</f>
        <v>15090</v>
      </c>
      <c r="R65" s="114"/>
      <c r="S65" s="72"/>
      <c r="T65" s="201">
        <v>15000</v>
      </c>
      <c r="U65" s="176"/>
      <c r="V65" s="174"/>
      <c r="W65" s="134"/>
      <c r="X65" s="145"/>
      <c r="Y65" s="134"/>
      <c r="Z65" s="153"/>
      <c r="AA65" s="143"/>
      <c r="AB65" s="143"/>
      <c r="AC65" s="148"/>
      <c r="AD65" s="238"/>
      <c r="AE65" s="134"/>
      <c r="AF65" s="134"/>
      <c r="AG65" s="134"/>
      <c r="AH65" s="197"/>
      <c r="AI65" s="143"/>
      <c r="AJ65" s="54"/>
      <c r="AK65" s="137"/>
      <c r="AL65" s="143"/>
      <c r="AM65" s="143"/>
      <c r="AN65" s="146"/>
      <c r="AO65" s="143"/>
      <c r="AP65" s="148"/>
      <c r="AQ65" s="137"/>
      <c r="AR65" s="156"/>
      <c r="AS65" s="148"/>
      <c r="AT65" s="134"/>
      <c r="AU65" s="145"/>
      <c r="AV65" s="139"/>
      <c r="AW65" s="137"/>
      <c r="AX65" s="145"/>
      <c r="AY65" s="134"/>
      <c r="AZ65" s="134"/>
      <c r="BA65" s="197"/>
      <c r="BB65" s="134"/>
      <c r="BC65" s="139"/>
      <c r="BD65" s="137"/>
      <c r="BE65" s="134"/>
      <c r="BF65" s="134"/>
      <c r="BG65" s="134"/>
      <c r="BH65" s="139"/>
      <c r="BI65" s="49"/>
      <c r="BJ65" s="60"/>
      <c r="BK65" s="139">
        <f>C65</f>
        <v>0</v>
      </c>
      <c r="BL65" s="139">
        <f>D65</f>
        <v>0</v>
      </c>
      <c r="BM65" s="139">
        <f>I65</f>
        <v>0</v>
      </c>
      <c r="BN65" s="134">
        <f>J65</f>
        <v>0</v>
      </c>
      <c r="BO65" s="134">
        <f>T65</f>
        <v>15000</v>
      </c>
      <c r="BP65" s="134">
        <f>L65</f>
        <v>0</v>
      </c>
      <c r="BQ65" s="134">
        <f>SUM(Z65:AC65)</f>
        <v>0</v>
      </c>
      <c r="BR65" s="134">
        <f>AE65</f>
        <v>0</v>
      </c>
      <c r="BS65" s="134">
        <f>AP65</f>
        <v>0</v>
      </c>
      <c r="BT65" s="134">
        <f t="shared" si="58"/>
        <v>0</v>
      </c>
      <c r="BU65" s="134">
        <f t="shared" si="58"/>
        <v>0</v>
      </c>
      <c r="BV65" s="134">
        <f t="shared" si="58"/>
        <v>0</v>
      </c>
    </row>
    <row r="66" spans="1:74" s="42" customFormat="1" ht="16.95" customHeight="1" x14ac:dyDescent="0.4">
      <c r="A66" s="16"/>
      <c r="B66" s="29" t="s">
        <v>119</v>
      </c>
      <c r="C66" s="40">
        <v>8000</v>
      </c>
      <c r="D66" s="40">
        <v>12000</v>
      </c>
      <c r="E66" s="40"/>
      <c r="F66" s="39"/>
      <c r="G66" s="39"/>
      <c r="H66" s="105">
        <v>11200</v>
      </c>
      <c r="I66" s="40">
        <v>12000</v>
      </c>
      <c r="J66" s="26"/>
      <c r="K66" s="26"/>
      <c r="L66" s="26"/>
      <c r="M66" s="54">
        <v>11600</v>
      </c>
      <c r="N66" s="40">
        <v>12000</v>
      </c>
      <c r="O66" s="110"/>
      <c r="P66" s="26"/>
      <c r="Q66" s="26"/>
      <c r="R66" s="158"/>
      <c r="S66" s="111">
        <v>14760</v>
      </c>
      <c r="T66" s="40">
        <v>12000</v>
      </c>
      <c r="U66" s="190"/>
      <c r="V66" s="173"/>
      <c r="W66" s="195"/>
      <c r="X66" s="111">
        <v>16960</v>
      </c>
      <c r="Y66" s="40">
        <v>12000</v>
      </c>
      <c r="Z66" s="197"/>
      <c r="AA66" s="143"/>
      <c r="AB66" s="193"/>
      <c r="AC66" s="103"/>
      <c r="AD66" s="242"/>
      <c r="AE66" s="111">
        <v>12360</v>
      </c>
      <c r="AF66" s="148"/>
      <c r="AG66" s="134"/>
      <c r="AH66" s="197"/>
      <c r="AI66" s="111">
        <v>16280</v>
      </c>
      <c r="AJ66" s="40">
        <v>12000</v>
      </c>
      <c r="AK66" s="137"/>
      <c r="AL66" s="103"/>
      <c r="AM66" s="143"/>
      <c r="AN66" s="162"/>
      <c r="AO66" s="111">
        <v>10000</v>
      </c>
      <c r="AP66" s="246"/>
      <c r="AQ66" s="137"/>
      <c r="AR66" s="282"/>
      <c r="AS66" s="267"/>
      <c r="AT66" s="97"/>
      <c r="AU66" s="149">
        <f>+AO66</f>
        <v>10000</v>
      </c>
      <c r="AV66" s="49"/>
      <c r="AW66" s="137"/>
      <c r="AX66" s="49"/>
      <c r="AY66" s="49"/>
      <c r="AZ66" s="49"/>
      <c r="BA66" s="107"/>
      <c r="BB66" s="139">
        <v>5000</v>
      </c>
      <c r="BC66" s="49"/>
      <c r="BD66" s="137"/>
      <c r="BE66" s="49"/>
      <c r="BF66" s="49"/>
      <c r="BG66" s="49"/>
      <c r="BH66" s="139">
        <f>+BB66</f>
        <v>5000</v>
      </c>
      <c r="BI66" s="49"/>
      <c r="BJ66" s="60"/>
      <c r="BK66" s="139">
        <f>BH66</f>
        <v>5000</v>
      </c>
      <c r="BL66" s="139">
        <v>10000</v>
      </c>
      <c r="BM66" s="139">
        <f t="shared" ref="BM66:BP66" si="72">BL66</f>
        <v>10000</v>
      </c>
      <c r="BN66" s="134">
        <f t="shared" si="72"/>
        <v>10000</v>
      </c>
      <c r="BO66" s="134">
        <f t="shared" si="72"/>
        <v>10000</v>
      </c>
      <c r="BP66" s="134">
        <f t="shared" si="72"/>
        <v>10000</v>
      </c>
      <c r="BQ66" s="134">
        <f>BP66</f>
        <v>10000</v>
      </c>
      <c r="BR66" s="134">
        <f t="shared" ref="BR66:BS66" si="73">BQ66</f>
        <v>10000</v>
      </c>
      <c r="BS66" s="134">
        <f t="shared" si="73"/>
        <v>10000</v>
      </c>
      <c r="BT66" s="134">
        <f t="shared" si="58"/>
        <v>10000</v>
      </c>
      <c r="BU66" s="134">
        <f t="shared" si="58"/>
        <v>10000</v>
      </c>
      <c r="BV66" s="134">
        <f t="shared" si="58"/>
        <v>10000</v>
      </c>
    </row>
    <row r="67" spans="1:74" s="42" customFormat="1" ht="19.399999999999999" customHeight="1" x14ac:dyDescent="0.4">
      <c r="A67" s="16"/>
      <c r="B67" s="29" t="s">
        <v>120</v>
      </c>
      <c r="C67" s="40">
        <v>3000</v>
      </c>
      <c r="D67" s="40">
        <v>2000</v>
      </c>
      <c r="E67" s="84"/>
      <c r="F67" s="39"/>
      <c r="G67" s="40">
        <v>660</v>
      </c>
      <c r="H67" s="70"/>
      <c r="I67" s="40">
        <v>660</v>
      </c>
      <c r="J67" s="106"/>
      <c r="K67" s="54">
        <v>3850</v>
      </c>
      <c r="L67" s="26"/>
      <c r="M67" s="68"/>
      <c r="N67" s="54">
        <v>1000</v>
      </c>
      <c r="O67" s="82"/>
      <c r="P67" s="76"/>
      <c r="R67" s="103"/>
      <c r="S67" s="111">
        <v>1902.5</v>
      </c>
      <c r="T67" s="201">
        <v>2000</v>
      </c>
      <c r="U67" s="103"/>
      <c r="V67" s="193"/>
      <c r="W67" s="103"/>
      <c r="X67" s="213">
        <v>577.5</v>
      </c>
      <c r="Y67" s="111">
        <v>1000</v>
      </c>
      <c r="Z67" s="195"/>
      <c r="AA67" s="220">
        <v>1993.75</v>
      </c>
      <c r="AB67" s="221"/>
      <c r="AC67" s="159"/>
      <c r="AD67" s="243">
        <v>2000</v>
      </c>
      <c r="AE67" s="234"/>
      <c r="AF67" s="143"/>
      <c r="AG67" s="159"/>
      <c r="AH67" s="120"/>
      <c r="AI67" s="103"/>
      <c r="AJ67" s="54"/>
      <c r="AK67" s="137"/>
      <c r="AL67" s="111">
        <v>2500</v>
      </c>
      <c r="AM67" s="215"/>
      <c r="AN67" s="193"/>
      <c r="AO67" s="103"/>
      <c r="AP67" s="267"/>
      <c r="AQ67" s="137"/>
      <c r="AR67" s="111">
        <v>3000</v>
      </c>
      <c r="AS67" s="103"/>
      <c r="AT67" s="103"/>
      <c r="AU67" s="257"/>
      <c r="AV67" s="246"/>
      <c r="AW67" s="137"/>
      <c r="AX67" s="49"/>
      <c r="AY67" s="49"/>
      <c r="AZ67" s="139">
        <v>2500</v>
      </c>
      <c r="BA67" s="107"/>
      <c r="BB67" s="49"/>
      <c r="BC67" s="49"/>
      <c r="BD67" s="137"/>
      <c r="BE67" s="49"/>
      <c r="BF67" s="139">
        <f>+AZ67</f>
        <v>2500</v>
      </c>
      <c r="BG67" s="49"/>
      <c r="BH67" s="49"/>
      <c r="BI67" s="49"/>
      <c r="BJ67" s="60"/>
      <c r="BK67" s="139">
        <f>BF67</f>
        <v>2500</v>
      </c>
      <c r="BL67" s="139">
        <f t="shared" ref="BL67:BP67" si="74">BK67</f>
        <v>2500</v>
      </c>
      <c r="BM67" s="139">
        <f t="shared" si="74"/>
        <v>2500</v>
      </c>
      <c r="BN67" s="134">
        <f t="shared" si="74"/>
        <v>2500</v>
      </c>
      <c r="BO67" s="134">
        <f t="shared" si="74"/>
        <v>2500</v>
      </c>
      <c r="BP67" s="134">
        <f t="shared" si="74"/>
        <v>2500</v>
      </c>
      <c r="BQ67" s="134">
        <f>BP67</f>
        <v>2500</v>
      </c>
      <c r="BR67" s="134">
        <v>5000</v>
      </c>
      <c r="BS67" s="134">
        <f>BR67</f>
        <v>5000</v>
      </c>
      <c r="BT67" s="134">
        <f t="shared" si="58"/>
        <v>5000</v>
      </c>
      <c r="BU67" s="134">
        <v>2500</v>
      </c>
      <c r="BV67" s="134">
        <f t="shared" si="58"/>
        <v>2500</v>
      </c>
    </row>
    <row r="68" spans="1:74" s="42" customFormat="1" ht="19.399999999999999" customHeight="1" x14ac:dyDescent="0.4">
      <c r="A68" s="16"/>
      <c r="B68" s="7" t="s">
        <v>132</v>
      </c>
      <c r="C68" s="40"/>
      <c r="D68" s="40"/>
      <c r="E68" s="60"/>
      <c r="F68" s="40">
        <v>7222.5</v>
      </c>
      <c r="G68" s="39"/>
      <c r="H68" s="70"/>
      <c r="I68" s="40">
        <v>7000</v>
      </c>
      <c r="J68" s="26"/>
      <c r="K68" s="26"/>
      <c r="L68" s="26"/>
      <c r="M68" s="26"/>
      <c r="N68" s="26"/>
      <c r="O68" s="26"/>
      <c r="P68" s="26"/>
      <c r="Q68" s="26"/>
      <c r="R68" s="26"/>
      <c r="S68" s="69"/>
      <c r="T68" s="69"/>
      <c r="U68" s="138"/>
      <c r="V68" s="175"/>
      <c r="W68" s="138"/>
      <c r="X68" s="210"/>
      <c r="Y68" s="134"/>
      <c r="Z68" s="134"/>
      <c r="AA68" s="134"/>
      <c r="AB68" s="134"/>
      <c r="AC68" s="134"/>
      <c r="AD68" s="238"/>
      <c r="AE68" s="134"/>
      <c r="AF68" s="134"/>
      <c r="AG68" s="134"/>
      <c r="AH68" s="134"/>
      <c r="AI68" s="134"/>
      <c r="AJ68" s="54"/>
      <c r="AK68" s="137"/>
      <c r="AL68" s="134"/>
      <c r="AM68" s="54">
        <v>7000</v>
      </c>
      <c r="AN68" s="197"/>
      <c r="AO68" s="143"/>
      <c r="AP68" s="246"/>
      <c r="AQ68" s="137"/>
      <c r="AR68" s="140"/>
      <c r="AS68" s="134"/>
      <c r="AT68" s="134"/>
      <c r="AU68" s="134"/>
      <c r="AV68" s="139"/>
      <c r="AW68" s="137"/>
      <c r="AX68" s="134"/>
      <c r="AY68" s="134"/>
      <c r="AZ68" s="134"/>
      <c r="BA68" s="134"/>
      <c r="BB68" s="134"/>
      <c r="BC68" s="139"/>
      <c r="BD68" s="137"/>
      <c r="BE68" s="134"/>
      <c r="BF68" s="134"/>
      <c r="BG68" s="134"/>
      <c r="BH68" s="134"/>
      <c r="BI68" s="139"/>
      <c r="BJ68" s="60"/>
      <c r="BK68" s="139">
        <f>C68</f>
        <v>0</v>
      </c>
      <c r="BL68" s="139">
        <f>D68</f>
        <v>0</v>
      </c>
      <c r="BM68" s="139">
        <f t="shared" ref="BM68:BP68" si="75">I68</f>
        <v>7000</v>
      </c>
      <c r="BN68" s="134">
        <f t="shared" si="75"/>
        <v>0</v>
      </c>
      <c r="BO68" s="134">
        <f t="shared" si="75"/>
        <v>0</v>
      </c>
      <c r="BP68" s="134">
        <f t="shared" si="75"/>
        <v>0</v>
      </c>
      <c r="BQ68" s="134">
        <f>SUM(Z68:AC68)</f>
        <v>0</v>
      </c>
      <c r="BR68" s="134">
        <f>AE68</f>
        <v>0</v>
      </c>
      <c r="BS68" s="134">
        <f>AM68</f>
        <v>7000</v>
      </c>
      <c r="BT68" s="134"/>
      <c r="BU68" s="134"/>
      <c r="BV68" s="134"/>
    </row>
    <row r="69" spans="1:74" s="42" customFormat="1" ht="19.399999999999999" customHeight="1" x14ac:dyDescent="0.4">
      <c r="A69" s="16"/>
      <c r="B69" s="29" t="s">
        <v>129</v>
      </c>
      <c r="C69" s="40"/>
      <c r="D69" s="40"/>
      <c r="E69" s="40"/>
      <c r="F69" s="39"/>
      <c r="G69" s="39"/>
      <c r="H69" s="105">
        <v>2453.63</v>
      </c>
      <c r="I69" s="40">
        <v>2500</v>
      </c>
      <c r="J69" s="26"/>
      <c r="K69" s="26"/>
      <c r="L69" s="26"/>
      <c r="M69" s="26"/>
      <c r="N69" s="26"/>
      <c r="O69" s="26"/>
      <c r="P69" s="69"/>
      <c r="Q69" s="26"/>
      <c r="R69" s="108"/>
      <c r="S69" s="103"/>
      <c r="T69" s="103"/>
      <c r="U69" s="157">
        <v>1746.65</v>
      </c>
      <c r="V69" s="103"/>
      <c r="W69" s="143"/>
      <c r="X69" s="210"/>
      <c r="Y69" s="111">
        <v>1800</v>
      </c>
      <c r="Z69" s="138"/>
      <c r="AA69" s="138"/>
      <c r="AB69" s="138"/>
      <c r="AC69" s="26"/>
      <c r="AD69" s="239"/>
      <c r="AE69" s="134"/>
      <c r="AF69" s="134"/>
      <c r="AG69" s="134"/>
      <c r="AH69" s="138"/>
      <c r="AI69" s="138"/>
      <c r="AJ69" s="54"/>
      <c r="AK69" s="137"/>
      <c r="AL69" s="134"/>
      <c r="AM69" s="134"/>
      <c r="AN69" s="195"/>
      <c r="AO69" s="143"/>
      <c r="AP69" s="148"/>
      <c r="AQ69" s="137"/>
      <c r="AR69" s="140"/>
      <c r="AS69" s="134"/>
      <c r="AT69" s="134"/>
      <c r="AU69" s="134"/>
      <c r="AV69" s="139"/>
      <c r="AW69" s="137"/>
      <c r="AX69" s="134"/>
      <c r="AY69" s="134"/>
      <c r="AZ69" s="134"/>
      <c r="BA69" s="134"/>
      <c r="BB69" s="134"/>
      <c r="BC69" s="139"/>
      <c r="BD69" s="137"/>
      <c r="BE69" s="134"/>
      <c r="BF69" s="134"/>
      <c r="BG69" s="134"/>
      <c r="BH69" s="134"/>
      <c r="BI69" s="139"/>
      <c r="BJ69" s="60"/>
      <c r="BK69" s="139">
        <f>C69</f>
        <v>0</v>
      </c>
      <c r="BL69" s="139">
        <f>D69</f>
        <v>0</v>
      </c>
      <c r="BM69" s="139">
        <f>I69</f>
        <v>2500</v>
      </c>
      <c r="BN69" s="134">
        <f>J69</f>
        <v>0</v>
      </c>
      <c r="BO69" s="134">
        <f>K69</f>
        <v>0</v>
      </c>
      <c r="BP69" s="134">
        <v>2500</v>
      </c>
      <c r="BQ69" s="134">
        <f>SUM(Z69:AC69)</f>
        <v>0</v>
      </c>
      <c r="BR69" s="134">
        <f>AE69</f>
        <v>0</v>
      </c>
      <c r="BS69" s="134">
        <f>AP69</f>
        <v>0</v>
      </c>
      <c r="BT69" s="134">
        <f t="shared" si="58"/>
        <v>0</v>
      </c>
      <c r="BU69" s="134">
        <f t="shared" si="58"/>
        <v>0</v>
      </c>
      <c r="BV69" s="134">
        <f t="shared" si="58"/>
        <v>0</v>
      </c>
    </row>
    <row r="70" spans="1:74" s="42" customFormat="1" ht="17.7" customHeight="1" x14ac:dyDescent="0.4">
      <c r="A70" s="16"/>
      <c r="B70" s="29" t="s">
        <v>121</v>
      </c>
      <c r="C70" s="60"/>
      <c r="D70" s="40">
        <v>200</v>
      </c>
      <c r="E70" s="40"/>
      <c r="F70" s="39"/>
      <c r="G70" s="39"/>
      <c r="H70" s="60"/>
      <c r="I70" s="54"/>
      <c r="J70" s="54">
        <f>190+210</f>
        <v>400</v>
      </c>
      <c r="K70" s="26"/>
      <c r="L70" s="26"/>
      <c r="M70" s="26"/>
      <c r="N70" s="54">
        <v>5000</v>
      </c>
      <c r="O70" s="107"/>
      <c r="P70" s="103"/>
      <c r="Q70" s="76"/>
      <c r="S70" s="172"/>
      <c r="T70" s="172"/>
      <c r="U70" s="157">
        <f>175+120</f>
        <v>295</v>
      </c>
      <c r="V70" s="103"/>
      <c r="X70" s="210">
        <f>125+75+85+105+75</f>
        <v>465</v>
      </c>
      <c r="Y70" s="111">
        <v>800</v>
      </c>
      <c r="Z70" s="157"/>
      <c r="AA70" s="103"/>
      <c r="AB70" s="111"/>
      <c r="AC70" s="117">
        <f>80+80+175</f>
        <v>335</v>
      </c>
      <c r="AD70" s="239">
        <v>200</v>
      </c>
      <c r="AE70" s="49"/>
      <c r="AG70" s="197"/>
      <c r="AH70" s="120"/>
      <c r="AI70" s="103"/>
      <c r="AJ70" s="54"/>
      <c r="AK70" s="137"/>
      <c r="AL70" s="143"/>
      <c r="AN70" s="193"/>
      <c r="AO70" s="103"/>
      <c r="AP70" s="246"/>
      <c r="AQ70" s="137"/>
      <c r="AR70" s="156">
        <v>500</v>
      </c>
      <c r="AS70" s="49"/>
      <c r="AT70" s="139"/>
      <c r="AU70" s="49"/>
      <c r="AV70" s="49"/>
      <c r="AW70" s="137"/>
      <c r="AX70" s="49"/>
      <c r="AY70" s="49"/>
      <c r="AZ70" s="49"/>
      <c r="BA70" s="139">
        <v>10000</v>
      </c>
      <c r="BB70" s="49"/>
      <c r="BC70" s="49"/>
      <c r="BD70" s="137"/>
      <c r="BE70" s="49"/>
      <c r="BF70" s="49"/>
      <c r="BG70" s="139">
        <v>2000</v>
      </c>
      <c r="BH70" s="49"/>
      <c r="BI70" s="49"/>
      <c r="BJ70" s="60"/>
      <c r="BK70" s="139">
        <v>500</v>
      </c>
      <c r="BL70" s="139">
        <f>BK70</f>
        <v>500</v>
      </c>
      <c r="BM70" s="139">
        <f t="shared" ref="BM70:BV70" si="76">BL70</f>
        <v>500</v>
      </c>
      <c r="BN70" s="139">
        <f t="shared" si="76"/>
        <v>500</v>
      </c>
      <c r="BO70" s="139">
        <f t="shared" si="76"/>
        <v>500</v>
      </c>
      <c r="BP70" s="139">
        <f>75000*0.2</f>
        <v>15000</v>
      </c>
      <c r="BQ70" s="139">
        <f>BO70</f>
        <v>500</v>
      </c>
      <c r="BR70" s="139">
        <f t="shared" si="76"/>
        <v>500</v>
      </c>
      <c r="BS70" s="139">
        <f t="shared" si="76"/>
        <v>500</v>
      </c>
      <c r="BT70" s="139">
        <f t="shared" si="76"/>
        <v>500</v>
      </c>
      <c r="BU70" s="139">
        <f t="shared" si="76"/>
        <v>500</v>
      </c>
      <c r="BV70" s="139">
        <f t="shared" si="76"/>
        <v>500</v>
      </c>
    </row>
    <row r="71" spans="1:74" s="42" customFormat="1" ht="17.7" customHeight="1" x14ac:dyDescent="0.4">
      <c r="A71" s="16"/>
      <c r="B71" s="29" t="s">
        <v>122</v>
      </c>
      <c r="C71" s="40"/>
      <c r="D71" s="40">
        <v>8750</v>
      </c>
      <c r="E71" s="40"/>
      <c r="F71" s="39"/>
      <c r="G71" s="39"/>
      <c r="H71" s="70"/>
      <c r="I71" s="26"/>
      <c r="J71" s="26"/>
      <c r="K71" s="26"/>
      <c r="L71" s="26"/>
      <c r="M71" s="26"/>
      <c r="N71" s="26"/>
      <c r="O71" s="108"/>
      <c r="P71" s="103"/>
      <c r="Q71" s="117">
        <v>8750</v>
      </c>
      <c r="R71" s="26"/>
      <c r="S71" s="126"/>
      <c r="T71" s="201">
        <f>SUM(O71:S71)</f>
        <v>8750</v>
      </c>
      <c r="U71" s="194"/>
      <c r="V71" s="175"/>
      <c r="W71" s="175"/>
      <c r="X71" s="210"/>
      <c r="Y71" s="148"/>
      <c r="Z71" s="145"/>
      <c r="AA71" s="145"/>
      <c r="AB71" s="145"/>
      <c r="AC71" s="134"/>
      <c r="AD71" s="239"/>
      <c r="AE71" s="134"/>
      <c r="AF71" s="134"/>
      <c r="AG71" s="134"/>
      <c r="AH71" s="145"/>
      <c r="AI71" s="217"/>
      <c r="AJ71" s="54"/>
      <c r="AK71" s="137"/>
      <c r="AL71" s="138"/>
      <c r="AM71" s="134"/>
      <c r="AN71" s="153"/>
      <c r="AO71" s="143"/>
      <c r="AP71" s="148"/>
      <c r="AQ71" s="137"/>
      <c r="AR71" s="140"/>
      <c r="AS71" s="134"/>
      <c r="AT71" s="134"/>
      <c r="AU71" s="134"/>
      <c r="AV71" s="139"/>
      <c r="AW71" s="137"/>
      <c r="AX71" s="134"/>
      <c r="AY71" s="134"/>
      <c r="AZ71" s="134"/>
      <c r="BA71" s="139"/>
      <c r="BB71" s="134"/>
      <c r="BC71" s="49"/>
      <c r="BD71" s="137"/>
      <c r="BE71" s="134"/>
      <c r="BF71" s="134"/>
      <c r="BG71" s="134"/>
      <c r="BH71" s="134"/>
      <c r="BI71" s="139"/>
      <c r="BJ71" s="60"/>
      <c r="BK71" s="139">
        <f>C71</f>
        <v>0</v>
      </c>
      <c r="BL71" s="139">
        <f>D71</f>
        <v>8750</v>
      </c>
      <c r="BM71" s="139">
        <f>I71</f>
        <v>0</v>
      </c>
      <c r="BN71" s="134">
        <f>J71</f>
        <v>0</v>
      </c>
      <c r="BO71" s="134">
        <f>BL71</f>
        <v>8750</v>
      </c>
      <c r="BP71" s="134">
        <f>L71</f>
        <v>0</v>
      </c>
      <c r="BQ71" s="134">
        <f>SUM(Z71:AC71)</f>
        <v>0</v>
      </c>
      <c r="BR71" s="134">
        <f>AE71</f>
        <v>0</v>
      </c>
      <c r="BS71" s="134">
        <v>5000</v>
      </c>
      <c r="BT71" s="134">
        <f t="shared" si="58"/>
        <v>5000</v>
      </c>
      <c r="BU71" s="134">
        <f t="shared" si="58"/>
        <v>5000</v>
      </c>
      <c r="BV71" s="134">
        <f t="shared" si="58"/>
        <v>5000</v>
      </c>
    </row>
    <row r="72" spans="1:74" s="42" customFormat="1" ht="17.7" customHeight="1" x14ac:dyDescent="0.4">
      <c r="A72" s="16"/>
      <c r="B72" s="29" t="s">
        <v>123</v>
      </c>
      <c r="C72" s="40"/>
      <c r="D72" s="40"/>
      <c r="E72" s="40"/>
      <c r="F72" s="40">
        <v>1500</v>
      </c>
      <c r="G72" s="68"/>
      <c r="H72" s="60"/>
      <c r="I72" s="40">
        <v>1500</v>
      </c>
      <c r="J72" s="26"/>
      <c r="K72" s="26"/>
      <c r="L72" s="68"/>
      <c r="M72" s="54">
        <v>1000</v>
      </c>
      <c r="N72" s="54">
        <v>1000</v>
      </c>
      <c r="O72" s="107"/>
      <c r="P72" s="121"/>
      <c r="Q72" s="103"/>
      <c r="R72" s="120"/>
      <c r="S72" s="111">
        <f>2000</f>
        <v>2000</v>
      </c>
      <c r="T72" s="201">
        <f>SUM(O72:S72)</f>
        <v>2000</v>
      </c>
      <c r="U72" s="103"/>
      <c r="V72" s="209"/>
      <c r="W72" s="103"/>
      <c r="X72" s="210">
        <v>4000</v>
      </c>
      <c r="Y72" s="111">
        <f>SUM(U72:X72)</f>
        <v>4000</v>
      </c>
      <c r="Z72" s="120"/>
      <c r="AA72" s="123"/>
      <c r="AB72" s="175"/>
      <c r="AC72" s="175"/>
      <c r="AD72" s="239"/>
      <c r="AE72" s="54">
        <v>4662.9399999999996</v>
      </c>
      <c r="AF72" s="49"/>
      <c r="AG72" s="134"/>
      <c r="AH72" s="134"/>
      <c r="AI72" s="217"/>
      <c r="AJ72" s="54">
        <v>4000</v>
      </c>
      <c r="AK72" s="137"/>
      <c r="AL72" s="217"/>
      <c r="AM72" s="69"/>
      <c r="AN72" s="195"/>
      <c r="AO72" s="143"/>
      <c r="AP72" s="148"/>
      <c r="AQ72" s="137"/>
      <c r="AR72" s="140"/>
      <c r="AS72" s="134"/>
      <c r="AT72" s="134"/>
      <c r="AU72" s="134"/>
      <c r="AV72" s="139"/>
      <c r="AW72" s="137"/>
      <c r="AX72" s="134"/>
      <c r="AY72" s="134"/>
      <c r="AZ72" s="134"/>
      <c r="BA72" s="134"/>
      <c r="BB72" s="139"/>
      <c r="BC72" s="49"/>
      <c r="BD72" s="137"/>
      <c r="BE72" s="134"/>
      <c r="BF72" s="134"/>
      <c r="BG72" s="134"/>
      <c r="BH72" s="139">
        <v>1500</v>
      </c>
      <c r="BI72" s="49"/>
      <c r="BJ72" s="60"/>
      <c r="BK72" s="139">
        <f>C72</f>
        <v>0</v>
      </c>
      <c r="BL72" s="139">
        <f>D72</f>
        <v>0</v>
      </c>
      <c r="BM72" s="139">
        <f>I72</f>
        <v>1500</v>
      </c>
      <c r="BN72" s="134">
        <f>J72</f>
        <v>0</v>
      </c>
      <c r="BO72" s="134">
        <f>SUM(O72:S72)</f>
        <v>2000</v>
      </c>
      <c r="BP72" s="134">
        <f>SUM(U72:X72)</f>
        <v>4000</v>
      </c>
      <c r="BQ72" s="134">
        <f>AB72</f>
        <v>0</v>
      </c>
      <c r="BR72" s="134">
        <v>4000</v>
      </c>
      <c r="BS72" s="134">
        <f>AP72</f>
        <v>0</v>
      </c>
      <c r="BT72" s="134">
        <f t="shared" si="58"/>
        <v>0</v>
      </c>
      <c r="BU72" s="134">
        <f t="shared" si="58"/>
        <v>0</v>
      </c>
      <c r="BV72" s="134">
        <v>1500</v>
      </c>
    </row>
    <row r="73" spans="1:74" s="42" customFormat="1" ht="17.7" customHeight="1" x14ac:dyDescent="0.4">
      <c r="A73" s="16"/>
      <c r="B73" s="29" t="s">
        <v>125</v>
      </c>
      <c r="C73" s="40">
        <v>1700</v>
      </c>
      <c r="D73" s="40">
        <v>1800</v>
      </c>
      <c r="E73" s="60"/>
      <c r="F73" s="40">
        <v>1177</v>
      </c>
      <c r="G73" s="39"/>
      <c r="H73" s="39"/>
      <c r="I73" s="40">
        <v>1200</v>
      </c>
      <c r="J73" s="106"/>
      <c r="K73" s="54">
        <v>3237.42</v>
      </c>
      <c r="L73" s="26"/>
      <c r="M73" s="26"/>
      <c r="N73" s="54"/>
      <c r="O73" s="107"/>
      <c r="P73" s="120"/>
      <c r="Q73" s="103"/>
      <c r="R73" s="120"/>
      <c r="S73" s="103"/>
      <c r="T73" s="103"/>
      <c r="U73" s="103"/>
      <c r="V73" s="207"/>
      <c r="W73" s="120"/>
      <c r="X73" s="210"/>
      <c r="Y73" s="237"/>
      <c r="Z73" s="120"/>
      <c r="AA73" s="103"/>
      <c r="AB73" s="212"/>
      <c r="AC73" s="235">
        <v>11823</v>
      </c>
      <c r="AD73" s="256">
        <v>5000</v>
      </c>
      <c r="AE73" s="49"/>
      <c r="AF73" s="134"/>
      <c r="AG73" s="49"/>
      <c r="AH73" s="134"/>
      <c r="AI73" s="145"/>
      <c r="AJ73" s="143"/>
      <c r="AK73" s="137"/>
      <c r="AL73" s="103"/>
      <c r="AM73" s="103"/>
      <c r="AN73" s="120"/>
      <c r="AO73" s="103"/>
      <c r="AP73" s="246"/>
      <c r="AQ73" s="137"/>
      <c r="AR73" s="156">
        <v>3000</v>
      </c>
      <c r="AS73" s="49"/>
      <c r="AT73" s="49"/>
      <c r="AU73" s="49"/>
      <c r="AV73" s="139"/>
      <c r="AW73" s="137"/>
      <c r="AX73" s="49"/>
      <c r="AY73" s="49"/>
      <c r="AZ73" s="97"/>
      <c r="BA73" s="97"/>
      <c r="BB73" s="149">
        <v>2000</v>
      </c>
      <c r="BC73" s="49"/>
      <c r="BD73" s="137"/>
      <c r="BE73" s="49"/>
      <c r="BF73" s="49"/>
      <c r="BG73" s="49"/>
      <c r="BH73" s="139">
        <v>2000</v>
      </c>
      <c r="BI73" s="49"/>
      <c r="BJ73" s="60"/>
      <c r="BK73" s="139">
        <v>2000</v>
      </c>
      <c r="BL73" s="139">
        <f>BK73</f>
        <v>2000</v>
      </c>
      <c r="BM73" s="139">
        <f t="shared" ref="BM73:BS73" si="77">BL73</f>
        <v>2000</v>
      </c>
      <c r="BN73" s="139">
        <f t="shared" si="77"/>
        <v>2000</v>
      </c>
      <c r="BO73" s="139">
        <f t="shared" si="77"/>
        <v>2000</v>
      </c>
      <c r="BP73" s="139">
        <f t="shared" si="77"/>
        <v>2000</v>
      </c>
      <c r="BQ73" s="139">
        <f t="shared" si="77"/>
        <v>2000</v>
      </c>
      <c r="BR73" s="139">
        <f t="shared" si="77"/>
        <v>2000</v>
      </c>
      <c r="BS73" s="139">
        <f t="shared" si="77"/>
        <v>2000</v>
      </c>
      <c r="BT73" s="139">
        <f t="shared" si="58"/>
        <v>2000</v>
      </c>
      <c r="BU73" s="139">
        <f t="shared" si="58"/>
        <v>2000</v>
      </c>
      <c r="BV73" s="139">
        <f t="shared" ref="BV73" si="78">BU73</f>
        <v>2000</v>
      </c>
    </row>
    <row r="74" spans="1:74" s="42" customFormat="1" ht="17.7" customHeight="1" x14ac:dyDescent="0.4">
      <c r="A74" s="16"/>
      <c r="B74" s="29" t="s">
        <v>126</v>
      </c>
      <c r="C74" s="40"/>
      <c r="D74" s="40"/>
      <c r="E74" s="40"/>
      <c r="F74" s="39"/>
      <c r="G74" s="39"/>
      <c r="H74" s="39"/>
      <c r="I74" s="26"/>
      <c r="J74" s="26"/>
      <c r="K74" s="26"/>
      <c r="L74" s="26"/>
      <c r="M74" s="26"/>
      <c r="N74" s="26"/>
      <c r="O74" s="108"/>
      <c r="P74" s="121"/>
      <c r="Q74" s="72"/>
      <c r="R74" s="121"/>
      <c r="S74" s="72"/>
      <c r="T74" s="72"/>
      <c r="U74" s="145"/>
      <c r="V74" s="200"/>
      <c r="W74" s="194"/>
      <c r="X74" s="210"/>
      <c r="Y74" s="150"/>
      <c r="Z74" s="193"/>
      <c r="AA74" s="143"/>
      <c r="AB74" s="143"/>
      <c r="AC74" s="175"/>
      <c r="AD74" s="241"/>
      <c r="AE74" s="134"/>
      <c r="AF74" s="134"/>
      <c r="AG74" s="134"/>
      <c r="AH74" s="134"/>
      <c r="AI74" s="134"/>
      <c r="AJ74" s="145"/>
      <c r="AK74" s="137"/>
      <c r="AL74" s="145"/>
      <c r="AM74" s="145"/>
      <c r="AN74" s="200"/>
      <c r="AO74" s="103"/>
      <c r="AP74" s="148"/>
      <c r="AQ74" s="137"/>
      <c r="AR74" s="134"/>
      <c r="AS74" s="134"/>
      <c r="AT74" s="26">
        <v>10000</v>
      </c>
      <c r="AU74" s="134"/>
      <c r="AV74" s="139"/>
      <c r="AW74" s="137"/>
      <c r="AX74" s="134"/>
      <c r="AY74" s="197"/>
      <c r="AZ74" s="257">
        <v>10000</v>
      </c>
      <c r="BA74" s="143"/>
      <c r="BB74" s="103"/>
      <c r="BC74" s="246"/>
      <c r="BD74" s="137"/>
      <c r="BE74" s="134"/>
      <c r="BF74" s="134"/>
      <c r="BG74" s="134"/>
      <c r="BH74" s="139"/>
      <c r="BI74" s="49"/>
      <c r="BJ74" s="60"/>
      <c r="BK74" s="139">
        <f>C74</f>
        <v>0</v>
      </c>
      <c r="BL74" s="139">
        <f>D74</f>
        <v>0</v>
      </c>
      <c r="BM74" s="139">
        <f>I74</f>
        <v>0</v>
      </c>
      <c r="BN74" s="134">
        <f>J74</f>
        <v>0</v>
      </c>
      <c r="BO74" s="134">
        <f>K74</f>
        <v>0</v>
      </c>
      <c r="BP74" s="134">
        <f>L74</f>
        <v>0</v>
      </c>
      <c r="BQ74" s="134">
        <f>SUM(Z74:AC74)</f>
        <v>0</v>
      </c>
      <c r="BR74" s="134">
        <f>AE74</f>
        <v>0</v>
      </c>
      <c r="BS74" s="134">
        <f>AP74</f>
        <v>0</v>
      </c>
      <c r="BT74" s="134">
        <f t="shared" si="58"/>
        <v>0</v>
      </c>
      <c r="BU74" s="134">
        <f>AZ74</f>
        <v>10000</v>
      </c>
      <c r="BV74" s="134"/>
    </row>
    <row r="75" spans="1:74" s="42" customFormat="1" ht="17.7" customHeight="1" x14ac:dyDescent="0.4">
      <c r="A75" s="16"/>
      <c r="B75" s="29" t="s">
        <v>124</v>
      </c>
      <c r="C75" s="40">
        <v>9500</v>
      </c>
      <c r="D75" s="40">
        <v>9500</v>
      </c>
      <c r="E75" s="40"/>
      <c r="F75" s="39"/>
      <c r="G75" s="40">
        <v>10781.31</v>
      </c>
      <c r="H75" s="39"/>
      <c r="I75" s="40">
        <v>10000</v>
      </c>
      <c r="J75" s="106"/>
      <c r="K75" s="26"/>
      <c r="L75" s="26"/>
      <c r="M75" s="54">
        <v>10285.59</v>
      </c>
      <c r="N75" s="54">
        <v>10000</v>
      </c>
      <c r="O75" s="118"/>
      <c r="P75" s="121"/>
      <c r="Q75" s="72"/>
      <c r="R75" s="111">
        <v>10285.59</v>
      </c>
      <c r="S75" s="168"/>
      <c r="T75" s="201">
        <v>10000</v>
      </c>
      <c r="U75" s="195"/>
      <c r="V75" s="103"/>
      <c r="W75" s="111">
        <v>10285.59</v>
      </c>
      <c r="X75" s="210"/>
      <c r="Y75" s="111">
        <v>10000</v>
      </c>
      <c r="Z75" s="217"/>
      <c r="AA75" s="217"/>
      <c r="AB75" s="222">
        <v>13892.84</v>
      </c>
      <c r="AC75" s="123"/>
      <c r="AD75" s="239">
        <v>11000</v>
      </c>
      <c r="AE75" s="103"/>
      <c r="AF75" s="134"/>
      <c r="AG75" s="97"/>
      <c r="AH75" s="109">
        <f>10312.92-1040.14</f>
        <v>9272.7800000000007</v>
      </c>
      <c r="AI75" s="97"/>
      <c r="AJ75" s="54">
        <v>10000</v>
      </c>
      <c r="AK75" s="137"/>
      <c r="AL75" s="103"/>
      <c r="AM75" s="197"/>
      <c r="AN75" s="111">
        <v>10000</v>
      </c>
      <c r="AO75" s="172"/>
      <c r="AP75" s="246"/>
      <c r="AQ75" s="137"/>
      <c r="AR75" s="103"/>
      <c r="AS75" s="103"/>
      <c r="AT75" s="103"/>
      <c r="AU75" s="139">
        <f>+AN75+750</f>
        <v>10750</v>
      </c>
      <c r="AV75" s="49"/>
      <c r="AW75" s="137"/>
      <c r="AX75" s="103"/>
      <c r="AY75" s="103"/>
      <c r="AZ75" s="172"/>
      <c r="BA75" s="172"/>
      <c r="BB75" s="151">
        <f>+AU75</f>
        <v>10750</v>
      </c>
      <c r="BC75" s="49"/>
      <c r="BD75" s="137"/>
      <c r="BE75" s="103"/>
      <c r="BF75" s="103"/>
      <c r="BG75" s="103"/>
      <c r="BH75" s="139">
        <f>+BB75</f>
        <v>10750</v>
      </c>
      <c r="BI75" s="49"/>
      <c r="BJ75" s="60"/>
      <c r="BK75" s="139">
        <f>BH75</f>
        <v>10750</v>
      </c>
      <c r="BL75" s="139">
        <f t="shared" ref="BL75:BS75" si="79">BK75</f>
        <v>10750</v>
      </c>
      <c r="BM75" s="139">
        <f t="shared" si="79"/>
        <v>10750</v>
      </c>
      <c r="BN75" s="134">
        <f t="shared" si="79"/>
        <v>10750</v>
      </c>
      <c r="BO75" s="134">
        <f t="shared" si="79"/>
        <v>10750</v>
      </c>
      <c r="BP75" s="134">
        <f t="shared" si="79"/>
        <v>10750</v>
      </c>
      <c r="BQ75" s="134">
        <f t="shared" si="79"/>
        <v>10750</v>
      </c>
      <c r="BR75" s="134">
        <f t="shared" si="79"/>
        <v>10750</v>
      </c>
      <c r="BS75" s="134">
        <f t="shared" si="79"/>
        <v>10750</v>
      </c>
      <c r="BT75" s="134">
        <f t="shared" si="58"/>
        <v>10750</v>
      </c>
      <c r="BU75" s="134">
        <f t="shared" si="58"/>
        <v>10750</v>
      </c>
      <c r="BV75" s="134">
        <f t="shared" si="58"/>
        <v>10750</v>
      </c>
    </row>
    <row r="76" spans="1:74" s="42" customFormat="1" ht="17.7" customHeight="1" x14ac:dyDescent="0.4">
      <c r="A76" s="16"/>
      <c r="B76" s="29" t="s">
        <v>133</v>
      </c>
      <c r="C76" s="40"/>
      <c r="D76" s="40"/>
      <c r="E76" s="40"/>
      <c r="F76" s="39"/>
      <c r="G76" s="40"/>
      <c r="H76" s="39"/>
      <c r="I76" s="40"/>
      <c r="J76" s="106"/>
      <c r="K76" s="26"/>
      <c r="L76" s="26"/>
      <c r="M76" s="54"/>
      <c r="N76" s="54"/>
      <c r="O76" s="118"/>
      <c r="P76" s="104"/>
      <c r="Q76" s="104"/>
      <c r="R76" s="283"/>
      <c r="S76" s="104"/>
      <c r="T76" s="284"/>
      <c r="U76" s="200"/>
      <c r="V76" s="103"/>
      <c r="W76" s="157"/>
      <c r="X76" s="210"/>
      <c r="Y76" s="283"/>
      <c r="Z76" s="217"/>
      <c r="AA76" s="217"/>
      <c r="AB76" s="283"/>
      <c r="AC76" s="95"/>
      <c r="AD76" s="239"/>
      <c r="AE76" s="95"/>
      <c r="AF76" s="134"/>
      <c r="AG76" s="97"/>
      <c r="AH76" s="163"/>
      <c r="AI76" s="97"/>
      <c r="AJ76" s="54"/>
      <c r="AK76" s="137"/>
      <c r="AL76" s="103"/>
      <c r="AM76" s="197"/>
      <c r="AN76" s="111"/>
      <c r="AO76" s="172"/>
      <c r="AP76" s="246"/>
      <c r="AQ76" s="137"/>
      <c r="AR76" s="103"/>
      <c r="AS76" s="103"/>
      <c r="AT76" s="103"/>
      <c r="AU76" s="139"/>
      <c r="AV76" s="49"/>
      <c r="AW76" s="137"/>
      <c r="AX76" s="103"/>
      <c r="AY76" s="103"/>
      <c r="AZ76" s="172"/>
      <c r="BA76" s="172"/>
      <c r="BB76" s="151"/>
      <c r="BC76" s="49"/>
      <c r="BD76" s="137"/>
      <c r="BE76" s="103"/>
      <c r="BF76" s="103"/>
      <c r="BG76" s="103"/>
      <c r="BH76" s="139"/>
      <c r="BI76" s="49"/>
      <c r="BJ76" s="60"/>
      <c r="BK76" s="139"/>
      <c r="BL76" s="139"/>
      <c r="BM76" s="139">
        <v>1500</v>
      </c>
      <c r="BN76" s="134"/>
      <c r="BO76" s="134">
        <v>25000</v>
      </c>
      <c r="BP76" s="134">
        <v>1500</v>
      </c>
      <c r="BQ76" s="134"/>
      <c r="BR76" s="134"/>
      <c r="BS76" s="134">
        <v>1500</v>
      </c>
      <c r="BT76" s="134"/>
      <c r="BU76" s="134"/>
      <c r="BV76" s="134">
        <v>1500</v>
      </c>
    </row>
    <row r="77" spans="1:74" s="42" customFormat="1" x14ac:dyDescent="0.4">
      <c r="A77" s="7"/>
      <c r="B77" s="22" t="s">
        <v>130</v>
      </c>
      <c r="C77" s="26"/>
      <c r="D77" s="26"/>
      <c r="E77" s="54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75"/>
      <c r="R77" s="108"/>
      <c r="S77" s="75"/>
      <c r="T77" s="75"/>
      <c r="U77" s="153"/>
      <c r="V77" s="143"/>
      <c r="W77" s="193"/>
      <c r="X77" s="143"/>
      <c r="Y77" s="148"/>
      <c r="Z77" s="145"/>
      <c r="AA77" s="145"/>
      <c r="AB77" s="145"/>
      <c r="AC77" s="145"/>
      <c r="AD77" s="238"/>
      <c r="AE77" s="134"/>
      <c r="AF77" s="134"/>
      <c r="AG77" s="134"/>
      <c r="AH77" s="145"/>
      <c r="AI77" s="134"/>
      <c r="AJ77" s="134"/>
      <c r="AK77" s="137"/>
      <c r="AL77" s="134"/>
      <c r="AM77" s="134"/>
      <c r="AN77" s="134"/>
      <c r="AO77" s="134"/>
      <c r="AP77" s="134"/>
      <c r="AQ77" s="137"/>
      <c r="AR77" s="134"/>
      <c r="AS77" s="134"/>
      <c r="AT77" s="134"/>
      <c r="AU77" s="134"/>
      <c r="AV77" s="139"/>
      <c r="AW77" s="137"/>
      <c r="AX77" s="134"/>
      <c r="AY77" s="134"/>
      <c r="AZ77" s="134"/>
      <c r="BA77" s="134"/>
      <c r="BB77" s="134"/>
      <c r="BC77" s="139"/>
      <c r="BD77" s="137"/>
      <c r="BE77" s="134"/>
      <c r="BF77" s="134"/>
      <c r="BG77" s="134"/>
      <c r="BH77" s="134"/>
      <c r="BI77" s="139"/>
      <c r="BJ77" s="60"/>
      <c r="BK77" s="139">
        <f>SUM(BK51:BK75)*0.05</f>
        <v>3714.6000000000004</v>
      </c>
      <c r="BL77" s="139">
        <f t="shared" ref="BL77:BV77" si="80">SUM(BL51:BL75)*0.05</f>
        <v>4550.5455000000002</v>
      </c>
      <c r="BM77" s="139">
        <f t="shared" si="80"/>
        <v>4602.2750000000005</v>
      </c>
      <c r="BN77" s="139">
        <f t="shared" si="80"/>
        <v>4989.6000000000004</v>
      </c>
      <c r="BO77" s="139">
        <f t="shared" si="80"/>
        <v>5527.1</v>
      </c>
      <c r="BP77" s="139">
        <f t="shared" si="80"/>
        <v>5289.6</v>
      </c>
      <c r="BQ77" s="139">
        <f t="shared" si="80"/>
        <v>4606.6530000000002</v>
      </c>
      <c r="BR77" s="139">
        <f t="shared" si="80"/>
        <v>4968.433500000001</v>
      </c>
      <c r="BS77" s="139">
        <f t="shared" si="80"/>
        <v>5368.433500000001</v>
      </c>
      <c r="BT77" s="139">
        <f t="shared" si="80"/>
        <v>4868.433500000001</v>
      </c>
      <c r="BU77" s="139">
        <f t="shared" si="80"/>
        <v>9643.4334999999992</v>
      </c>
      <c r="BV77" s="139">
        <f t="shared" si="80"/>
        <v>11618.433500000001</v>
      </c>
    </row>
    <row r="78" spans="1:74" s="42" customFormat="1" x14ac:dyDescent="0.4">
      <c r="A78" s="7"/>
      <c r="B78" s="22"/>
      <c r="C78" s="26"/>
      <c r="D78" s="26"/>
      <c r="E78" s="54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108"/>
      <c r="S78" s="26"/>
      <c r="T78" s="26"/>
      <c r="U78" s="134"/>
      <c r="V78" s="145"/>
      <c r="W78" s="145"/>
      <c r="X78" s="145"/>
      <c r="Y78" s="134"/>
      <c r="Z78" s="134"/>
      <c r="AA78" s="134"/>
      <c r="AB78" s="134"/>
      <c r="AC78" s="134"/>
      <c r="AD78" s="238"/>
      <c r="AE78" s="134"/>
      <c r="AF78" s="134"/>
      <c r="AG78" s="134"/>
      <c r="AH78" s="134"/>
      <c r="AI78" s="134"/>
      <c r="AJ78" s="134"/>
      <c r="AK78" s="137"/>
      <c r="AL78" s="134"/>
      <c r="AM78" s="134"/>
      <c r="AN78" s="134"/>
      <c r="AO78" s="134"/>
      <c r="AP78" s="134"/>
      <c r="AQ78" s="137"/>
      <c r="AR78" s="134"/>
      <c r="AS78" s="134"/>
      <c r="AT78" s="134"/>
      <c r="AU78" s="134"/>
      <c r="AV78" s="139"/>
      <c r="AW78" s="137"/>
      <c r="AX78" s="134"/>
      <c r="AY78" s="134"/>
      <c r="AZ78" s="134"/>
      <c r="BA78" s="134"/>
      <c r="BB78" s="134"/>
      <c r="BC78" s="139"/>
      <c r="BD78" s="137"/>
      <c r="BE78" s="134"/>
      <c r="BF78" s="134"/>
      <c r="BG78" s="134"/>
      <c r="BH78" s="134"/>
      <c r="BI78" s="139"/>
      <c r="BJ78" s="60"/>
      <c r="BK78" s="139"/>
      <c r="BL78" s="139"/>
      <c r="BM78" s="139"/>
      <c r="BN78" s="134"/>
      <c r="BO78" s="134"/>
      <c r="BP78" s="134"/>
      <c r="BQ78" s="134">
        <f>SUM(Z78:AC78)</f>
        <v>0</v>
      </c>
      <c r="BR78" s="134">
        <f>AE78</f>
        <v>0</v>
      </c>
      <c r="BS78" s="134">
        <f>AP78</f>
        <v>0</v>
      </c>
      <c r="BT78" s="134">
        <f t="shared" ref="BT78:BV78" si="81">AQ78</f>
        <v>0</v>
      </c>
      <c r="BU78" s="134">
        <f t="shared" si="81"/>
        <v>0</v>
      </c>
      <c r="BV78" s="134">
        <f t="shared" si="81"/>
        <v>0</v>
      </c>
    </row>
    <row r="79" spans="1:74" s="42" customFormat="1" x14ac:dyDescent="0.4">
      <c r="A79" s="7"/>
      <c r="B79" s="7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244"/>
      <c r="AE79" s="58"/>
      <c r="AF79" s="58"/>
      <c r="AG79" s="58"/>
      <c r="AH79" s="58"/>
      <c r="AI79" s="58"/>
      <c r="AJ79" s="55"/>
      <c r="AK79"/>
      <c r="AL79" s="58"/>
      <c r="AM79" s="58"/>
      <c r="AN79" s="58"/>
      <c r="AO79" s="58"/>
      <c r="AP79" s="58"/>
      <c r="AQ79"/>
      <c r="AR79" s="58"/>
      <c r="AS79" s="58"/>
      <c r="AT79" s="58"/>
      <c r="AU79" s="58"/>
      <c r="AV79" s="58"/>
      <c r="AW79"/>
      <c r="AX79" s="58"/>
      <c r="AY79" s="58"/>
      <c r="AZ79" s="58"/>
      <c r="BA79" s="58"/>
      <c r="BB79" s="58"/>
      <c r="BC79" s="58"/>
      <c r="BD79"/>
      <c r="BE79" s="58"/>
      <c r="BF79" s="58"/>
      <c r="BG79" s="58"/>
      <c r="BH79" s="58"/>
      <c r="BI79" s="58"/>
      <c r="BJ79" s="60"/>
      <c r="BK79" s="58"/>
      <c r="BL79" s="58"/>
      <c r="BM79" s="58"/>
      <c r="BN79" s="55"/>
      <c r="BO79" s="55"/>
      <c r="BP79" s="55"/>
      <c r="BQ79" s="55"/>
      <c r="BR79" s="55"/>
      <c r="BS79" s="55"/>
      <c r="BT79" s="55"/>
      <c r="BU79" s="55"/>
      <c r="BV79" s="55"/>
    </row>
    <row r="80" spans="1:74" s="42" customFormat="1" x14ac:dyDescent="0.4">
      <c r="A80" s="7"/>
      <c r="B80" s="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244"/>
      <c r="AE80" s="58"/>
      <c r="AF80" s="58"/>
      <c r="AG80" s="58"/>
      <c r="AH80" s="58"/>
      <c r="AI80" s="58"/>
      <c r="AJ80" s="55"/>
      <c r="AK80"/>
      <c r="AL80" s="58"/>
      <c r="AM80" s="58"/>
      <c r="AN80" s="58"/>
      <c r="AO80" s="58"/>
      <c r="AP80" s="58"/>
      <c r="AQ80"/>
      <c r="AR80" s="58"/>
      <c r="AS80" s="58"/>
      <c r="AT80" s="58"/>
      <c r="AU80" s="58"/>
      <c r="AV80" s="58"/>
      <c r="AW80"/>
      <c r="AX80" s="58"/>
      <c r="AY80" s="58"/>
      <c r="AZ80" s="58"/>
      <c r="BA80" s="58"/>
      <c r="BB80" s="58"/>
      <c r="BC80" s="58"/>
      <c r="BD80"/>
      <c r="BE80" s="58"/>
      <c r="BF80" s="58"/>
      <c r="BG80" s="58"/>
      <c r="BH80" s="58"/>
      <c r="BI80" s="58"/>
      <c r="BJ80" s="60"/>
      <c r="BK80" s="58"/>
      <c r="BL80" s="58"/>
      <c r="BM80" s="58"/>
      <c r="BN80" s="55"/>
      <c r="BO80" s="55"/>
      <c r="BP80" s="55"/>
      <c r="BQ80" s="55"/>
      <c r="BR80" s="55"/>
      <c r="BS80" s="55"/>
      <c r="BT80" s="55"/>
      <c r="BU80" s="55"/>
      <c r="BV80" s="55"/>
    </row>
    <row r="81" spans="1:80" s="42" customFormat="1" x14ac:dyDescent="0.4">
      <c r="A81" s="7"/>
      <c r="B81" s="7" t="s">
        <v>50</v>
      </c>
      <c r="C81" s="55">
        <f t="shared" ref="C81:AJ81" si="82">SUM(C51:C80)+C42+SUM(C45:C47)</f>
        <v>146061.66999999998</v>
      </c>
      <c r="D81" s="55">
        <f t="shared" si="82"/>
        <v>159458.9</v>
      </c>
      <c r="E81" s="55">
        <f t="shared" si="82"/>
        <v>149294.76</v>
      </c>
      <c r="F81" s="55">
        <f t="shared" si="82"/>
        <v>62278.649999999994</v>
      </c>
      <c r="G81" s="55">
        <f t="shared" si="82"/>
        <v>23019.879999999997</v>
      </c>
      <c r="H81" s="55">
        <f t="shared" si="82"/>
        <v>20137.87</v>
      </c>
      <c r="I81" s="55">
        <f t="shared" si="82"/>
        <v>177939.38</v>
      </c>
      <c r="J81" s="55">
        <f t="shared" si="82"/>
        <v>37528.490000000005</v>
      </c>
      <c r="K81" s="55">
        <f t="shared" si="82"/>
        <v>135816.29</v>
      </c>
      <c r="L81" s="55">
        <f t="shared" si="82"/>
        <v>54031.18</v>
      </c>
      <c r="M81" s="55">
        <f t="shared" si="82"/>
        <v>59728.869999999995</v>
      </c>
      <c r="N81" s="55">
        <f t="shared" si="82"/>
        <v>187995.22999999998</v>
      </c>
      <c r="O81" s="55">
        <f t="shared" si="82"/>
        <v>36915.9</v>
      </c>
      <c r="P81" s="55">
        <f t="shared" si="82"/>
        <v>124849.26</v>
      </c>
      <c r="Q81" s="55">
        <f t="shared" si="82"/>
        <v>79268.790000000008</v>
      </c>
      <c r="R81" s="55">
        <f t="shared" si="82"/>
        <v>34904.53</v>
      </c>
      <c r="S81" s="55">
        <f t="shared" si="82"/>
        <v>24978.54</v>
      </c>
      <c r="T81" s="55">
        <f t="shared" si="82"/>
        <v>197096.14</v>
      </c>
      <c r="U81" s="55">
        <f t="shared" si="82"/>
        <v>28897.56</v>
      </c>
      <c r="V81" s="55">
        <f>SUM(V51:V80)+V42+SUM(V45:V47)</f>
        <v>261209.30000000002</v>
      </c>
      <c r="W81" s="55">
        <f t="shared" si="82"/>
        <v>45000.19</v>
      </c>
      <c r="X81" s="55">
        <f t="shared" si="82"/>
        <v>31370.880000000001</v>
      </c>
      <c r="Y81" s="55">
        <f t="shared" si="82"/>
        <v>194656.49</v>
      </c>
      <c r="Z81" s="55">
        <f t="shared" si="82"/>
        <v>19013.89</v>
      </c>
      <c r="AA81" s="55">
        <f t="shared" si="82"/>
        <v>193384.74000000002</v>
      </c>
      <c r="AB81" s="55">
        <f t="shared" si="82"/>
        <v>78458.92</v>
      </c>
      <c r="AC81" s="55">
        <f t="shared" si="82"/>
        <v>34597.1</v>
      </c>
      <c r="AD81" s="55">
        <f t="shared" si="82"/>
        <v>193196.70240000001</v>
      </c>
      <c r="AE81" s="55">
        <f t="shared" si="82"/>
        <v>56146.740000000005</v>
      </c>
      <c r="AF81" s="55">
        <f t="shared" si="82"/>
        <v>171748.02000000002</v>
      </c>
      <c r="AG81" s="55">
        <f t="shared" si="82"/>
        <v>81802.319999999992</v>
      </c>
      <c r="AH81" s="55">
        <f t="shared" si="82"/>
        <v>24562.75</v>
      </c>
      <c r="AI81" s="55">
        <f t="shared" si="82"/>
        <v>22799.27</v>
      </c>
      <c r="AJ81" s="55">
        <f t="shared" si="82"/>
        <v>186527.49239999999</v>
      </c>
      <c r="AK81"/>
      <c r="AL81" s="55">
        <f>SUM(AL51:AL80)+AL42+SUM(AL45:AL47)</f>
        <v>29319.439999999999</v>
      </c>
      <c r="AM81" s="55">
        <f>SUM(AM51:AM80)+AM42+SUM(AM45:AM47)</f>
        <v>117164.6912</v>
      </c>
      <c r="AN81" s="55">
        <f>SUM(AN51:AN80)+AN42+SUM(AN45:AN47)</f>
        <v>10092.07</v>
      </c>
      <c r="AO81" s="55">
        <f>SUM(AO51:AO80)+AO42+SUM(AO45:AO47)</f>
        <v>28343.989999999998</v>
      </c>
      <c r="AP81" s="55"/>
      <c r="AQ81"/>
      <c r="AR81" s="55">
        <f>SUM(AR51:AR80)+AR42+SUM(AR45:AR47)</f>
        <v>31166.93</v>
      </c>
      <c r="AS81" s="55">
        <f>SUM(AS51:AS80)+AS42+SUM(AS45:AS47)</f>
        <v>111088.8236</v>
      </c>
      <c r="AT81" s="55">
        <f>SUM(AT51:AT80)+AT42+SUM(AT45:AT47)</f>
        <v>23588</v>
      </c>
      <c r="AU81" s="55">
        <f>SUM(AU51:AU80)+AU42+SUM(AU45:AU47)</f>
        <v>40855.43</v>
      </c>
      <c r="AV81" s="55"/>
      <c r="AW81"/>
      <c r="AX81" s="55">
        <f>SUM(AX51:AX80)+AX42+SUM(AX45:AX47)</f>
        <v>5000</v>
      </c>
      <c r="AY81" s="55">
        <f>SUM(AY51:AY80)+AY42+SUM(AY45:AY47)</f>
        <v>18819.439999999999</v>
      </c>
      <c r="AZ81" s="55">
        <f>SUM(AZ51:AZ80)+AZ42+SUM(AZ45:AZ47)</f>
        <v>157739.68360000002</v>
      </c>
      <c r="BA81" s="55">
        <f>SUM(BA51:BA80)+BA42+SUM(BA45:BA47)</f>
        <v>17000</v>
      </c>
      <c r="BB81" s="55">
        <f>SUM(BB51:BB80)+BB42+SUM(BB45:BB47)</f>
        <v>37855.43</v>
      </c>
      <c r="BC81" s="55"/>
      <c r="BD81"/>
      <c r="BE81" s="55">
        <f>SUM(BE51:BE80)+BE42+SUM(BE45:BE47)</f>
        <v>23819.439999999999</v>
      </c>
      <c r="BF81" s="55">
        <f>SUM(BF51:BF80)+BF42+SUM(BF45:BF47)</f>
        <v>135357.68</v>
      </c>
      <c r="BG81" s="55">
        <f>SUM(BG51:BG80)+BG42+SUM(BG45:BG47)</f>
        <v>49292.639999999999</v>
      </c>
      <c r="BH81" s="55">
        <f>SUM(BH51:BH80)+BH42+SUM(BH45:BH47)</f>
        <v>39355.43</v>
      </c>
      <c r="BI81" s="55"/>
      <c r="BJ81" s="60"/>
      <c r="BK81" s="58">
        <f t="shared" ref="BK81:BV81" si="83">SUM(BK51:BK80)+BK42+SUM(BK45:BK47)</f>
        <v>211864.28000000003</v>
      </c>
      <c r="BL81" s="58">
        <f t="shared" si="83"/>
        <v>329419.13550000003</v>
      </c>
      <c r="BM81" s="58">
        <f t="shared" si="83"/>
        <v>272159.7622</v>
      </c>
      <c r="BN81" s="55">
        <f t="shared" si="83"/>
        <v>243793.58720000001</v>
      </c>
      <c r="BO81" s="55">
        <f t="shared" si="83"/>
        <v>280081.08720000001</v>
      </c>
      <c r="BP81" s="55">
        <f t="shared" si="83"/>
        <v>286593.58720000001</v>
      </c>
      <c r="BQ81" s="55">
        <f t="shared" si="83"/>
        <v>235751.70020000002</v>
      </c>
      <c r="BR81" s="55">
        <f t="shared" si="83"/>
        <v>243349.0907</v>
      </c>
      <c r="BS81" s="55">
        <f t="shared" si="83"/>
        <v>288249.0907</v>
      </c>
      <c r="BT81" s="55">
        <f t="shared" si="83"/>
        <v>241249.0907</v>
      </c>
      <c r="BU81" s="55">
        <f t="shared" si="83"/>
        <v>341524.09069999994</v>
      </c>
      <c r="BV81" s="55">
        <f t="shared" si="83"/>
        <v>419499.09070000006</v>
      </c>
    </row>
    <row r="82" spans="1:80" s="42" customFormat="1" x14ac:dyDescent="0.4">
      <c r="A82" s="7"/>
      <c r="B82" s="7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244"/>
      <c r="AE82" s="58"/>
      <c r="AF82" s="58"/>
      <c r="AG82" s="58"/>
      <c r="AH82" s="58"/>
      <c r="AI82" s="58"/>
      <c r="AJ82" s="55"/>
      <c r="AK82"/>
      <c r="AL82" s="58"/>
      <c r="AM82" s="58"/>
      <c r="AN82" s="58"/>
      <c r="AO82" s="58"/>
      <c r="AP82" s="58"/>
      <c r="AQ82"/>
      <c r="AR82" s="58"/>
      <c r="AS82" s="58"/>
      <c r="AT82" s="58"/>
      <c r="AU82" s="58"/>
      <c r="AV82" s="58"/>
      <c r="AW82"/>
      <c r="AX82" s="58"/>
      <c r="AY82" s="58"/>
      <c r="AZ82" s="58"/>
      <c r="BA82" s="58"/>
      <c r="BB82" s="58"/>
      <c r="BC82" s="58"/>
      <c r="BD82"/>
      <c r="BE82" s="58"/>
      <c r="BF82" s="58"/>
      <c r="BG82" s="58"/>
      <c r="BH82" s="58"/>
      <c r="BI82" s="58"/>
      <c r="BJ82" s="60"/>
      <c r="BK82" s="58"/>
      <c r="BL82" s="58"/>
      <c r="BM82" s="58"/>
      <c r="BN82" s="55"/>
      <c r="BO82" s="55"/>
      <c r="BP82" s="55"/>
      <c r="BQ82" s="55"/>
      <c r="BR82" s="55"/>
      <c r="BS82" s="55"/>
      <c r="BT82" s="55"/>
      <c r="BU82" s="55"/>
      <c r="BV82" s="55"/>
    </row>
    <row r="83" spans="1:80" s="42" customFormat="1" x14ac:dyDescent="0.4">
      <c r="A83" s="7"/>
      <c r="B83" s="7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244"/>
      <c r="AE83" s="58"/>
      <c r="AF83" s="58"/>
      <c r="AG83" s="58"/>
      <c r="AH83" s="58"/>
      <c r="AI83" s="58"/>
      <c r="AJ83" s="55"/>
      <c r="AK83"/>
      <c r="AL83" s="58"/>
      <c r="AM83" s="58"/>
      <c r="AN83" s="58"/>
      <c r="AO83" s="58"/>
      <c r="AP83" s="58"/>
      <c r="AQ83"/>
      <c r="AR83" s="58"/>
      <c r="AS83" s="58"/>
      <c r="AT83" s="58"/>
      <c r="AU83" s="58"/>
      <c r="AV83" s="58"/>
      <c r="AW83"/>
      <c r="AX83" s="58"/>
      <c r="AY83" s="58"/>
      <c r="AZ83" s="58"/>
      <c r="BA83" s="58"/>
      <c r="BB83" s="58"/>
      <c r="BC83" s="58"/>
      <c r="BD83"/>
      <c r="BE83" s="58"/>
      <c r="BF83" s="58"/>
      <c r="BG83" s="58"/>
      <c r="BH83" s="58"/>
      <c r="BI83" s="58"/>
      <c r="BJ83" s="60"/>
      <c r="BK83" s="58"/>
      <c r="BL83" s="58"/>
      <c r="BM83" s="58"/>
      <c r="BN83" s="55"/>
      <c r="BO83" s="55"/>
      <c r="BP83" s="55"/>
      <c r="BQ83" s="55"/>
      <c r="BR83" s="55"/>
      <c r="BS83" s="55"/>
      <c r="BT83" s="55"/>
      <c r="BU83" s="55"/>
      <c r="BV83" s="55"/>
    </row>
    <row r="84" spans="1:80" s="42" customFormat="1" x14ac:dyDescent="0.4">
      <c r="A84" s="34"/>
      <c r="B84" s="35" t="s">
        <v>51</v>
      </c>
      <c r="C84" s="85">
        <f t="shared" ref="C84:AJ84" si="84">+C11+C37-C81</f>
        <v>91904.580000000016</v>
      </c>
      <c r="D84" s="85">
        <f t="shared" si="84"/>
        <v>35370.680000000022</v>
      </c>
      <c r="E84" s="85">
        <f t="shared" si="84"/>
        <v>-114024.07999999999</v>
      </c>
      <c r="F84" s="85">
        <f t="shared" si="84"/>
        <v>-176402.72999999998</v>
      </c>
      <c r="G84" s="85">
        <f t="shared" si="84"/>
        <v>-199022.61</v>
      </c>
      <c r="H84" s="85">
        <f t="shared" si="84"/>
        <v>-207950.47999999998</v>
      </c>
      <c r="I84" s="85">
        <f t="shared" si="84"/>
        <v>68331.300000000017</v>
      </c>
      <c r="J84" s="85">
        <f t="shared" si="84"/>
        <v>-242561.96999999997</v>
      </c>
      <c r="K84" s="85">
        <f t="shared" si="84"/>
        <v>-378478.26</v>
      </c>
      <c r="L84" s="85">
        <f t="shared" si="84"/>
        <v>-407589.44</v>
      </c>
      <c r="M84" s="85">
        <f t="shared" si="84"/>
        <v>-466378.17</v>
      </c>
      <c r="N84" s="85">
        <f t="shared" si="84"/>
        <v>109313.21000000008</v>
      </c>
      <c r="O84" s="85">
        <f t="shared" si="84"/>
        <v>-502894.07</v>
      </c>
      <c r="P84" s="85">
        <f t="shared" si="84"/>
        <v>-627843.32999999996</v>
      </c>
      <c r="Q84" s="85">
        <f t="shared" si="84"/>
        <v>-706197.98</v>
      </c>
      <c r="R84" s="85">
        <f t="shared" si="84"/>
        <v>-741202.51</v>
      </c>
      <c r="S84" s="85">
        <f t="shared" si="84"/>
        <v>-766255.05</v>
      </c>
      <c r="T84" s="85">
        <f t="shared" si="84"/>
        <v>13657.210000000079</v>
      </c>
      <c r="U84" s="85">
        <f t="shared" si="84"/>
        <v>-794952.6100000001</v>
      </c>
      <c r="V84" s="85">
        <f t="shared" si="84"/>
        <v>-1055761.9100000001</v>
      </c>
      <c r="W84" s="85">
        <f t="shared" si="84"/>
        <v>-1100862.1000000001</v>
      </c>
      <c r="X84" s="85">
        <f t="shared" si="84"/>
        <v>-1132332.98</v>
      </c>
      <c r="Y84" s="85">
        <f t="shared" si="84"/>
        <v>19700.720000000088</v>
      </c>
      <c r="Z84" s="85">
        <f t="shared" si="84"/>
        <v>-897946.87</v>
      </c>
      <c r="AA84" s="85">
        <f t="shared" si="84"/>
        <v>-1041431.61</v>
      </c>
      <c r="AB84" s="85">
        <f t="shared" si="84"/>
        <v>-1119990.53</v>
      </c>
      <c r="AC84" s="85">
        <f t="shared" si="84"/>
        <v>-1154597.05</v>
      </c>
      <c r="AD84" s="85">
        <f t="shared" si="84"/>
        <v>130094.5976000001</v>
      </c>
      <c r="AE84" s="85">
        <f t="shared" si="84"/>
        <v>-1210974.8600000001</v>
      </c>
      <c r="AF84" s="85">
        <f t="shared" si="84"/>
        <v>-1382222.8800000001</v>
      </c>
      <c r="AG84" s="85">
        <f t="shared" si="84"/>
        <v>-1340025.2000000002</v>
      </c>
      <c r="AH84" s="85">
        <f t="shared" si="84"/>
        <v>-1320587.9500000002</v>
      </c>
      <c r="AI84" s="85">
        <f t="shared" si="84"/>
        <v>-1343571.86</v>
      </c>
      <c r="AJ84" s="85">
        <f t="shared" si="84"/>
        <v>111651.39520000009</v>
      </c>
      <c r="AK84"/>
      <c r="AL84" s="85">
        <f>+AL11+AL37-AL81</f>
        <v>82831.955200000084</v>
      </c>
      <c r="AM84" s="85">
        <f>+AM11+AM37-AM81</f>
        <v>65667.264000000083</v>
      </c>
      <c r="AN84" s="85">
        <f>+AN11+AN37-AN81</f>
        <v>180575.19400000008</v>
      </c>
      <c r="AO84" s="85">
        <f>+AO11+AO37-AO81</f>
        <v>176131.20400000009</v>
      </c>
      <c r="AP84" s="85"/>
      <c r="AQ84"/>
      <c r="AR84" s="85">
        <f>+AR11+AR37-AR81</f>
        <v>144964.27400000009</v>
      </c>
      <c r="AS84" s="85">
        <f>+AS11+AS37-AS81</f>
        <v>33875.450400000089</v>
      </c>
      <c r="AT84" s="85">
        <f>+AT11+AT37-AT81</f>
        <v>160787.45040000009</v>
      </c>
      <c r="AU84" s="85">
        <f>+AU11+AU37-AU81</f>
        <v>119832.0204000001</v>
      </c>
      <c r="AV84" s="85"/>
      <c r="AW84"/>
      <c r="AX84" s="85">
        <f>+AX11+AX37-AX81</f>
        <v>114832.0204000001</v>
      </c>
      <c r="AY84" s="85">
        <f>+AY11+AY37-AY81</f>
        <v>96012.580400000094</v>
      </c>
      <c r="AZ84" s="85">
        <f>+AZ11+AZ37-AZ81</f>
        <v>163272.89680000008</v>
      </c>
      <c r="BA84" s="85">
        <f>+BA11+BA37-BA81</f>
        <v>146772.89680000008</v>
      </c>
      <c r="BB84" s="85">
        <f>+BB11+BB37-BB81</f>
        <v>118817.46680000008</v>
      </c>
      <c r="BC84" s="85"/>
      <c r="BD84"/>
      <c r="BE84" s="85">
        <f>+BE11+BE37-BE81</f>
        <v>124998.02680000008</v>
      </c>
      <c r="BF84" s="85">
        <f>+BF11+BF37-BF81</f>
        <v>189640.34680000012</v>
      </c>
      <c r="BG84" s="85">
        <f>+BG11+BG37-BG81</f>
        <v>140847.7068000001</v>
      </c>
      <c r="BH84" s="85">
        <f>+BH11+BH37-BH81</f>
        <v>111392.27680000011</v>
      </c>
      <c r="BI84" s="85"/>
      <c r="BJ84" s="60"/>
      <c r="BK84" s="85">
        <f t="shared" ref="BK84:BV84" si="85">+BK11+BK37-BK81</f>
        <v>109927.99680000008</v>
      </c>
      <c r="BL84" s="85">
        <f t="shared" si="85"/>
        <v>190908.86130000005</v>
      </c>
      <c r="BM84" s="85">
        <f t="shared" si="85"/>
        <v>29149.09910000005</v>
      </c>
      <c r="BN84" s="85">
        <f t="shared" si="85"/>
        <v>20755.511900000041</v>
      </c>
      <c r="BO84" s="85">
        <f t="shared" si="85"/>
        <v>-23925.575299999968</v>
      </c>
      <c r="BP84" s="85">
        <f t="shared" si="85"/>
        <v>-290119.16249999998</v>
      </c>
      <c r="BQ84" s="85">
        <f t="shared" si="85"/>
        <v>-262470.8627</v>
      </c>
      <c r="BR84" s="85">
        <f t="shared" si="85"/>
        <v>-371419.9534</v>
      </c>
      <c r="BS84" s="85">
        <f t="shared" si="85"/>
        <v>-575269.04410000006</v>
      </c>
      <c r="BT84" s="85">
        <f t="shared" si="85"/>
        <v>-546118.13480000012</v>
      </c>
      <c r="BU84" s="85">
        <f t="shared" si="85"/>
        <v>-877242.22550000006</v>
      </c>
      <c r="BV84" s="85">
        <f t="shared" si="85"/>
        <v>-1286341.3162000002</v>
      </c>
    </row>
    <row r="85" spans="1:80" s="42" customFormat="1" x14ac:dyDescent="0.4">
      <c r="A85" s="7"/>
      <c r="B85" s="10"/>
      <c r="C85" s="86"/>
      <c r="D85" s="86"/>
      <c r="F85" s="87"/>
      <c r="G85" s="87"/>
      <c r="H85" s="87"/>
      <c r="I85" s="86"/>
      <c r="J85" s="87"/>
      <c r="K85" s="59"/>
      <c r="L85" s="59"/>
      <c r="M85" s="59"/>
      <c r="N85" s="87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60"/>
      <c r="AF85" s="60"/>
      <c r="AG85" s="60"/>
      <c r="AH85" s="60"/>
      <c r="AI85" s="60"/>
      <c r="AJ85" s="59"/>
      <c r="AK85"/>
      <c r="AL85" s="60"/>
      <c r="AM85" s="60"/>
      <c r="AN85" s="60"/>
      <c r="AO85" s="60"/>
      <c r="AP85" s="60"/>
      <c r="AQ85"/>
      <c r="AR85" s="60"/>
      <c r="AS85" s="60"/>
      <c r="AT85" s="60"/>
      <c r="AU85" s="60"/>
      <c r="AV85" s="60"/>
      <c r="AW85"/>
      <c r="AX85" s="60"/>
      <c r="AY85" s="60"/>
      <c r="AZ85" s="60"/>
      <c r="BA85" s="60"/>
      <c r="BB85" s="60"/>
      <c r="BC85" s="60"/>
      <c r="BD85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59"/>
      <c r="BR85" s="59"/>
      <c r="BS85" s="59"/>
      <c r="BT85" s="59"/>
      <c r="BU85" s="59"/>
      <c r="BV85" s="59"/>
    </row>
    <row r="86" spans="1:80" s="42" customFormat="1" x14ac:dyDescent="0.4">
      <c r="A86" s="7"/>
      <c r="B86" s="10"/>
      <c r="C86" s="86"/>
      <c r="D86" s="86"/>
      <c r="E86" s="87"/>
      <c r="F86" s="87"/>
      <c r="G86" s="87"/>
      <c r="I86" s="87"/>
      <c r="J86" s="87"/>
      <c r="K86" s="59"/>
      <c r="L86" s="59"/>
      <c r="M86" s="59"/>
      <c r="N86" s="87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60"/>
      <c r="AF86" s="60"/>
      <c r="AG86" s="60"/>
      <c r="AH86" s="60"/>
      <c r="AI86" s="60"/>
      <c r="AJ86" s="59"/>
      <c r="AK86"/>
      <c r="AL86" s="60"/>
      <c r="AM86" s="60"/>
      <c r="AN86" s="60"/>
      <c r="AO86" s="60"/>
      <c r="AP86" s="60"/>
      <c r="AQ86"/>
      <c r="AR86" s="60"/>
      <c r="AS86" s="60"/>
      <c r="AT86" s="60"/>
      <c r="AU86" s="60"/>
      <c r="AV86" s="60"/>
      <c r="AW86"/>
      <c r="AX86" s="60"/>
      <c r="AY86" s="60"/>
      <c r="AZ86" s="60"/>
      <c r="BA86" s="60"/>
      <c r="BB86" s="60"/>
      <c r="BC86" s="60"/>
      <c r="BD86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59"/>
      <c r="BR86" s="59"/>
      <c r="BS86" s="59"/>
      <c r="BT86" s="59"/>
      <c r="BU86" s="59"/>
      <c r="BV86" s="59"/>
      <c r="BW86" s="95"/>
      <c r="BX86" s="95"/>
      <c r="BY86" s="95"/>
      <c r="BZ86" s="95"/>
      <c r="CA86" s="95"/>
      <c r="CB86" s="95"/>
    </row>
    <row r="87" spans="1:80" x14ac:dyDescent="0.4">
      <c r="A87" s="36"/>
      <c r="B87" s="37" t="s">
        <v>52</v>
      </c>
      <c r="C87" s="88"/>
      <c r="D87" s="88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91"/>
      <c r="AF87" s="91"/>
      <c r="AG87" s="91"/>
      <c r="AH87" s="91"/>
      <c r="AI87" s="91"/>
      <c r="AJ87" s="89"/>
      <c r="AL87" s="91"/>
      <c r="AM87" s="91"/>
      <c r="AN87" s="91"/>
      <c r="AO87" s="91"/>
      <c r="AP87" s="91"/>
      <c r="AR87" s="91"/>
      <c r="AS87" s="91"/>
      <c r="AT87" s="91"/>
      <c r="AU87" s="91"/>
      <c r="AV87" s="91"/>
      <c r="AX87" s="91"/>
      <c r="AY87" s="91"/>
      <c r="AZ87" s="91"/>
      <c r="BA87" s="91"/>
      <c r="BB87" s="91"/>
      <c r="BC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0"/>
      <c r="BR87" s="90"/>
      <c r="BS87" s="90"/>
      <c r="BT87" s="90"/>
      <c r="BU87" s="90"/>
      <c r="BV87" s="90"/>
      <c r="BW87" s="44"/>
      <c r="BX87" s="44"/>
      <c r="BY87" s="44"/>
      <c r="BZ87" s="44"/>
      <c r="CA87" s="96"/>
      <c r="CB87" s="44"/>
    </row>
    <row r="88" spans="1:80" x14ac:dyDescent="0.4">
      <c r="A88" s="205"/>
      <c r="B88" s="204" t="s">
        <v>53</v>
      </c>
      <c r="C88" s="202">
        <f>C84</f>
        <v>91904.580000000016</v>
      </c>
      <c r="D88" s="202">
        <f t="shared" ref="D88:AJ88" si="86">D84</f>
        <v>35370.680000000022</v>
      </c>
      <c r="E88" s="202">
        <f t="shared" si="86"/>
        <v>-114024.07999999999</v>
      </c>
      <c r="F88" s="202">
        <f t="shared" si="86"/>
        <v>-176402.72999999998</v>
      </c>
      <c r="G88" s="202">
        <f t="shared" si="86"/>
        <v>-199022.61</v>
      </c>
      <c r="H88" s="202">
        <f t="shared" si="86"/>
        <v>-207950.47999999998</v>
      </c>
      <c r="I88" s="202">
        <f t="shared" si="86"/>
        <v>68331.300000000017</v>
      </c>
      <c r="J88" s="202">
        <f t="shared" si="86"/>
        <v>-242561.96999999997</v>
      </c>
      <c r="K88" s="202">
        <f t="shared" si="86"/>
        <v>-378478.26</v>
      </c>
      <c r="L88" s="202">
        <f t="shared" si="86"/>
        <v>-407589.44</v>
      </c>
      <c r="M88" s="202">
        <f t="shared" si="86"/>
        <v>-466378.17</v>
      </c>
      <c r="N88" s="202">
        <f t="shared" si="86"/>
        <v>109313.21000000008</v>
      </c>
      <c r="O88" s="202">
        <f t="shared" si="86"/>
        <v>-502894.07</v>
      </c>
      <c r="P88" s="202">
        <f t="shared" si="86"/>
        <v>-627843.32999999996</v>
      </c>
      <c r="Q88" s="202">
        <f t="shared" si="86"/>
        <v>-706197.98</v>
      </c>
      <c r="R88" s="202">
        <f t="shared" si="86"/>
        <v>-741202.51</v>
      </c>
      <c r="S88" s="202">
        <f t="shared" si="86"/>
        <v>-766255.05</v>
      </c>
      <c r="T88" s="202">
        <f t="shared" si="86"/>
        <v>13657.210000000079</v>
      </c>
      <c r="U88" s="202">
        <f t="shared" si="86"/>
        <v>-794952.6100000001</v>
      </c>
      <c r="V88" s="202">
        <f t="shared" si="86"/>
        <v>-1055761.9100000001</v>
      </c>
      <c r="W88" s="202">
        <f t="shared" si="86"/>
        <v>-1100862.1000000001</v>
      </c>
      <c r="X88" s="202">
        <f t="shared" si="86"/>
        <v>-1132332.98</v>
      </c>
      <c r="Y88" s="202">
        <f t="shared" si="86"/>
        <v>19700.720000000088</v>
      </c>
      <c r="Z88" s="202">
        <f t="shared" si="86"/>
        <v>-897946.87</v>
      </c>
      <c r="AA88" s="202">
        <f t="shared" si="86"/>
        <v>-1041431.61</v>
      </c>
      <c r="AB88" s="202">
        <f t="shared" si="86"/>
        <v>-1119990.53</v>
      </c>
      <c r="AC88" s="202">
        <f t="shared" si="86"/>
        <v>-1154597.05</v>
      </c>
      <c r="AD88" s="202">
        <f t="shared" si="86"/>
        <v>130094.5976000001</v>
      </c>
      <c r="AE88" s="202">
        <f t="shared" si="86"/>
        <v>-1210974.8600000001</v>
      </c>
      <c r="AF88" s="202">
        <f t="shared" si="86"/>
        <v>-1382222.8800000001</v>
      </c>
      <c r="AG88" s="202">
        <f t="shared" si="86"/>
        <v>-1340025.2000000002</v>
      </c>
      <c r="AH88" s="202">
        <f t="shared" si="86"/>
        <v>-1320587.9500000002</v>
      </c>
      <c r="AI88" s="202">
        <f t="shared" si="86"/>
        <v>-1343571.86</v>
      </c>
      <c r="AJ88" s="202">
        <f t="shared" si="86"/>
        <v>111651.39520000009</v>
      </c>
      <c r="AL88" s="203">
        <f>AL84</f>
        <v>82831.955200000084</v>
      </c>
      <c r="AM88" s="203">
        <f t="shared" ref="AM88:AO88" si="87">AM84</f>
        <v>65667.264000000083</v>
      </c>
      <c r="AN88" s="203">
        <f t="shared" si="87"/>
        <v>180575.19400000008</v>
      </c>
      <c r="AO88" s="203">
        <f t="shared" si="87"/>
        <v>176131.20400000009</v>
      </c>
      <c r="AP88" s="203"/>
      <c r="AR88" s="203">
        <v>144964</v>
      </c>
      <c r="AS88" s="203">
        <v>33875</v>
      </c>
      <c r="AT88" s="203"/>
      <c r="AU88" s="203"/>
      <c r="AV88" s="203"/>
      <c r="AX88" s="203"/>
      <c r="AY88" s="203"/>
      <c r="AZ88" s="203"/>
      <c r="BA88" s="203"/>
      <c r="BB88" s="203"/>
      <c r="BC88" s="203"/>
      <c r="BE88" s="203"/>
      <c r="BF88" s="203"/>
      <c r="BG88" s="203"/>
      <c r="BH88" s="203"/>
      <c r="BI88" s="203"/>
      <c r="BJ88" s="93"/>
      <c r="BK88" s="203"/>
      <c r="BL88" s="203"/>
      <c r="BM88" s="203"/>
      <c r="BN88" s="203"/>
      <c r="BO88" s="203"/>
      <c r="BP88" s="203"/>
      <c r="BQ88" s="203"/>
      <c r="BR88" s="203"/>
      <c r="BS88" s="203"/>
      <c r="BT88" s="203"/>
      <c r="BU88" s="203"/>
      <c r="BV88" s="203"/>
      <c r="BW88" s="44"/>
      <c r="BX88" s="44"/>
      <c r="BY88" s="44"/>
      <c r="BZ88" s="44"/>
      <c r="CA88" s="96"/>
      <c r="CB88" s="44"/>
    </row>
    <row r="89" spans="1:80" x14ac:dyDescent="0.4">
      <c r="A89" s="36"/>
      <c r="B89" s="2" t="s">
        <v>54</v>
      </c>
      <c r="C89" s="92">
        <f>+C88-C84</f>
        <v>0</v>
      </c>
      <c r="D89" s="92">
        <f>+D88-D84</f>
        <v>0</v>
      </c>
      <c r="E89" s="92">
        <f t="shared" ref="E89" si="88">+E88-E84</f>
        <v>0</v>
      </c>
      <c r="F89" s="92">
        <f t="shared" ref="F89" si="89">+F88-F84</f>
        <v>0</v>
      </c>
      <c r="G89" s="92">
        <f t="shared" ref="G89" si="90">+G88-G84</f>
        <v>0</v>
      </c>
      <c r="H89" s="92">
        <f t="shared" ref="H89:I89" si="91">+H88-H84</f>
        <v>0</v>
      </c>
      <c r="I89" s="92">
        <f t="shared" si="91"/>
        <v>0</v>
      </c>
      <c r="J89" s="92">
        <f t="shared" ref="J89" si="92">+J88-J84</f>
        <v>0</v>
      </c>
      <c r="K89" s="92">
        <f t="shared" ref="K89" si="93">+K88-K84</f>
        <v>0</v>
      </c>
      <c r="L89" s="92">
        <f t="shared" ref="L89:T89" si="94">+L88-L84</f>
        <v>0</v>
      </c>
      <c r="M89" s="92">
        <f t="shared" si="94"/>
        <v>0</v>
      </c>
      <c r="N89" s="92">
        <f t="shared" si="94"/>
        <v>0</v>
      </c>
      <c r="O89" s="92">
        <f t="shared" si="94"/>
        <v>0</v>
      </c>
      <c r="P89" s="92">
        <f t="shared" si="94"/>
        <v>0</v>
      </c>
      <c r="Q89" s="92">
        <f t="shared" si="94"/>
        <v>0</v>
      </c>
      <c r="R89" s="92">
        <f t="shared" si="94"/>
        <v>0</v>
      </c>
      <c r="S89" s="92">
        <f t="shared" si="94"/>
        <v>0</v>
      </c>
      <c r="T89" s="92">
        <f t="shared" si="94"/>
        <v>0</v>
      </c>
      <c r="U89" s="92">
        <f t="shared" ref="U89:AD89" si="95">+U88-U84</f>
        <v>0</v>
      </c>
      <c r="V89" s="92">
        <f t="shared" si="95"/>
        <v>0</v>
      </c>
      <c r="W89" s="92">
        <f t="shared" si="95"/>
        <v>0</v>
      </c>
      <c r="X89" s="92">
        <f t="shared" si="95"/>
        <v>0</v>
      </c>
      <c r="Y89" s="92">
        <f t="shared" si="95"/>
        <v>0</v>
      </c>
      <c r="Z89" s="92">
        <f>+Z88-Z84</f>
        <v>0</v>
      </c>
      <c r="AA89" s="92">
        <f t="shared" si="95"/>
        <v>0</v>
      </c>
      <c r="AB89" s="92">
        <f t="shared" si="95"/>
        <v>0</v>
      </c>
      <c r="AC89" s="92">
        <f t="shared" si="95"/>
        <v>0</v>
      </c>
      <c r="AD89" s="92">
        <f t="shared" si="95"/>
        <v>0</v>
      </c>
      <c r="AE89" s="92">
        <f>+AE88-AE84</f>
        <v>0</v>
      </c>
      <c r="AF89" s="92">
        <f>+AF88-AF84</f>
        <v>0</v>
      </c>
      <c r="AG89" s="92">
        <f t="shared" ref="AG89:AI89" si="96">+AG88-AG84</f>
        <v>0</v>
      </c>
      <c r="AH89" s="92">
        <f>+AH88-AH84</f>
        <v>0</v>
      </c>
      <c r="AI89" s="92">
        <f t="shared" si="96"/>
        <v>0</v>
      </c>
      <c r="AJ89" s="92">
        <f>+AJ88-AJ84</f>
        <v>0</v>
      </c>
      <c r="AL89" s="92">
        <f t="shared" ref="AL89:AU89" si="97">+AL88-AL84</f>
        <v>0</v>
      </c>
      <c r="AM89" s="92">
        <f t="shared" si="97"/>
        <v>0</v>
      </c>
      <c r="AN89" s="92">
        <f t="shared" si="97"/>
        <v>0</v>
      </c>
      <c r="AO89" s="92">
        <f t="shared" si="97"/>
        <v>0</v>
      </c>
      <c r="AP89" s="92"/>
      <c r="AR89" s="92">
        <f t="shared" si="97"/>
        <v>-0.27400000009220093</v>
      </c>
      <c r="AS89" s="92">
        <f t="shared" si="97"/>
        <v>-0.45040000008884817</v>
      </c>
      <c r="AT89" s="92">
        <f t="shared" si="97"/>
        <v>-160787.45040000009</v>
      </c>
      <c r="AU89" s="92">
        <f t="shared" si="97"/>
        <v>-119832.0204000001</v>
      </c>
      <c r="AV89" s="92"/>
      <c r="AX89" s="92">
        <f t="shared" ref="AX89:BB89" si="98">+AX88-AX84</f>
        <v>-114832.0204000001</v>
      </c>
      <c r="AY89" s="92">
        <f t="shared" si="98"/>
        <v>-96012.580400000094</v>
      </c>
      <c r="AZ89" s="92">
        <f t="shared" si="98"/>
        <v>-163272.89680000008</v>
      </c>
      <c r="BA89" s="92">
        <f t="shared" si="98"/>
        <v>-146772.89680000008</v>
      </c>
      <c r="BB89" s="92">
        <f t="shared" si="98"/>
        <v>-118817.46680000008</v>
      </c>
      <c r="BC89" s="92"/>
      <c r="BE89" s="92">
        <f t="shared" ref="BE89:BH89" si="99">+BE88-BE84</f>
        <v>-124998.02680000008</v>
      </c>
      <c r="BF89" s="92">
        <f t="shared" si="99"/>
        <v>-189640.34680000012</v>
      </c>
      <c r="BG89" s="92">
        <f t="shared" si="99"/>
        <v>-140847.7068000001</v>
      </c>
      <c r="BH89" s="92">
        <f t="shared" si="99"/>
        <v>-111392.27680000011</v>
      </c>
      <c r="BI89" s="92"/>
      <c r="BJ89" s="92"/>
      <c r="BK89" s="92">
        <f t="shared" ref="BK89" si="100">+BK88-BK84</f>
        <v>-109927.99680000008</v>
      </c>
      <c r="BL89" s="92">
        <f t="shared" ref="BL89:BM89" si="101">+BL88-BL84</f>
        <v>-190908.86130000005</v>
      </c>
      <c r="BM89" s="92">
        <f t="shared" si="101"/>
        <v>-29149.09910000005</v>
      </c>
      <c r="BN89" s="92">
        <f t="shared" ref="BN89:BS89" si="102">+BN88-BN84</f>
        <v>-20755.511900000041</v>
      </c>
      <c r="BO89" s="92">
        <f t="shared" si="102"/>
        <v>23925.575299999968</v>
      </c>
      <c r="BP89" s="92">
        <f t="shared" si="102"/>
        <v>290119.16249999998</v>
      </c>
      <c r="BQ89" s="92">
        <f t="shared" si="102"/>
        <v>262470.8627</v>
      </c>
      <c r="BR89" s="92">
        <f t="shared" si="102"/>
        <v>371419.9534</v>
      </c>
      <c r="BS89" s="92">
        <f t="shared" si="102"/>
        <v>575269.04410000006</v>
      </c>
      <c r="BT89" s="92">
        <f t="shared" ref="BT89:BV89" si="103">+BT88-BT84</f>
        <v>546118.13480000012</v>
      </c>
      <c r="BU89" s="92">
        <f t="shared" si="103"/>
        <v>877242.22550000006</v>
      </c>
      <c r="BV89" s="92">
        <f t="shared" si="103"/>
        <v>1286341.3162000002</v>
      </c>
      <c r="BW89" s="44"/>
      <c r="BX89" s="44"/>
      <c r="BY89" s="44"/>
      <c r="BZ89" s="44"/>
      <c r="CA89" s="44"/>
      <c r="CB89" s="44"/>
    </row>
    <row r="90" spans="1:80" x14ac:dyDescent="0.4">
      <c r="A90" s="36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177"/>
      <c r="T90" s="177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1"/>
      <c r="AF90" s="91"/>
      <c r="AG90" s="91"/>
      <c r="AH90" s="91"/>
      <c r="AI90" s="91"/>
      <c r="AJ90" s="92"/>
      <c r="AL90" s="91"/>
      <c r="AM90" s="91"/>
      <c r="AN90" s="91"/>
      <c r="AO90" s="91"/>
      <c r="AP90" s="91"/>
      <c r="AR90" s="91"/>
      <c r="AS90" s="91"/>
      <c r="AT90" s="91"/>
      <c r="AU90" s="91"/>
      <c r="AV90" s="91"/>
      <c r="AX90" s="91"/>
      <c r="AY90" s="91"/>
      <c r="AZ90" s="91"/>
      <c r="BA90" s="91"/>
      <c r="BB90" s="91"/>
      <c r="BC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0"/>
      <c r="BR90" s="90"/>
      <c r="BS90" s="90"/>
      <c r="BT90" s="90"/>
      <c r="BU90" s="90"/>
      <c r="BV90" s="90"/>
      <c r="BW90" s="44"/>
      <c r="BX90" s="44"/>
      <c r="BY90" s="44"/>
      <c r="BZ90" s="44"/>
      <c r="CA90" s="44"/>
      <c r="CB90" s="44"/>
    </row>
    <row r="91" spans="1:80" x14ac:dyDescent="0.4">
      <c r="A91" s="36"/>
      <c r="B91" s="3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1"/>
      <c r="AF91" s="91"/>
      <c r="AG91" s="91"/>
      <c r="AH91" s="91"/>
      <c r="AI91" s="91"/>
      <c r="AJ91" s="92"/>
      <c r="AL91" s="91"/>
      <c r="AM91" s="91"/>
      <c r="AN91" s="91"/>
      <c r="AO91" s="91"/>
      <c r="AP91" s="91"/>
      <c r="AR91" s="91"/>
      <c r="AS91" s="91"/>
      <c r="AT91" s="91"/>
      <c r="AU91" s="91"/>
      <c r="AV91" s="91"/>
      <c r="AX91" s="91"/>
      <c r="AY91" s="91"/>
      <c r="AZ91" s="91"/>
      <c r="BA91" s="91"/>
      <c r="BB91" s="91"/>
      <c r="BC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0"/>
      <c r="BR91" s="90"/>
      <c r="BS91" s="90"/>
      <c r="BT91" s="90"/>
      <c r="BU91" s="90"/>
      <c r="BV91" s="90"/>
      <c r="BW91" s="44"/>
      <c r="BX91" s="44"/>
      <c r="BZ91" s="44"/>
    </row>
    <row r="92" spans="1:80" x14ac:dyDescent="0.4">
      <c r="A92" s="36"/>
      <c r="B92" s="3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1"/>
      <c r="AF92" s="91"/>
      <c r="AG92" s="91"/>
      <c r="AH92" s="91"/>
      <c r="AI92" s="91"/>
      <c r="AJ92" s="92"/>
      <c r="AL92" s="91"/>
      <c r="AM92" s="91"/>
      <c r="AN92" s="91"/>
      <c r="AO92" s="91"/>
      <c r="AP92" s="91"/>
      <c r="AR92" s="91"/>
      <c r="AS92" s="91"/>
      <c r="AT92" s="91"/>
      <c r="AU92" s="91"/>
      <c r="AV92" s="91"/>
      <c r="AX92" s="91"/>
      <c r="AY92" s="91"/>
      <c r="AZ92" s="91"/>
      <c r="BA92" s="91"/>
      <c r="BB92" s="91"/>
      <c r="BC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0"/>
      <c r="BR92" s="90"/>
      <c r="BS92" s="90"/>
      <c r="BT92" s="90"/>
      <c r="BU92" s="90"/>
      <c r="BV92" s="90"/>
      <c r="BW92" s="44"/>
      <c r="BX92" s="44"/>
      <c r="BZ92" s="44"/>
    </row>
    <row r="93" spans="1:80" s="42" customFormat="1" x14ac:dyDescent="0.4">
      <c r="A93" s="7"/>
      <c r="B93" s="10"/>
      <c r="C93" s="86"/>
      <c r="D93" s="86"/>
      <c r="E93" s="87"/>
      <c r="F93" s="87"/>
      <c r="G93" s="87"/>
      <c r="H93" s="87"/>
      <c r="I93" s="87"/>
      <c r="J93" s="87"/>
      <c r="K93" s="59"/>
      <c r="L93" s="59"/>
      <c r="M93" s="59"/>
      <c r="N93" s="87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60"/>
      <c r="AF93" s="60"/>
      <c r="AG93" s="60"/>
      <c r="AH93" s="60"/>
      <c r="AI93" s="60"/>
      <c r="AJ93" s="59"/>
      <c r="AK93"/>
      <c r="AL93" s="60"/>
      <c r="AM93" s="60"/>
      <c r="AN93" s="60"/>
      <c r="AO93" s="60"/>
      <c r="AP93" s="60"/>
      <c r="AQ93"/>
      <c r="AR93" s="60"/>
      <c r="AS93" s="60"/>
      <c r="AT93" s="60"/>
      <c r="AU93" s="60"/>
      <c r="AV93" s="60"/>
      <c r="AW93"/>
      <c r="AX93" s="60"/>
      <c r="AY93" s="60"/>
      <c r="AZ93" s="60"/>
      <c r="BA93" s="60"/>
      <c r="BB93" s="60"/>
      <c r="BC93" s="60"/>
      <c r="BD93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59"/>
      <c r="BR93" s="59"/>
      <c r="BS93" s="59"/>
      <c r="BT93" s="59"/>
      <c r="BU93" s="59"/>
      <c r="BV93" s="59"/>
    </row>
    <row r="94" spans="1:80" s="42" customFormat="1" x14ac:dyDescent="0.4">
      <c r="A94" s="7"/>
      <c r="B94" s="10"/>
      <c r="C94" s="86"/>
      <c r="D94" s="86"/>
      <c r="E94" s="87"/>
      <c r="F94" s="87"/>
      <c r="G94" s="87"/>
      <c r="H94" s="87"/>
      <c r="I94" s="87"/>
      <c r="J94" s="87"/>
      <c r="K94" s="59"/>
      <c r="L94" s="59"/>
      <c r="M94" s="59"/>
      <c r="N94" s="87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60"/>
      <c r="AF94" s="60"/>
      <c r="AG94" s="60"/>
      <c r="AH94" s="60"/>
      <c r="AI94" s="60"/>
      <c r="AJ94" s="59"/>
      <c r="AK94"/>
      <c r="AL94" s="60"/>
      <c r="AM94" s="60"/>
      <c r="AN94" s="60"/>
      <c r="AO94" s="60"/>
      <c r="AP94" s="60"/>
      <c r="AQ94"/>
      <c r="AR94" s="60"/>
      <c r="AS94" s="60"/>
      <c r="AT94" s="60"/>
      <c r="AU94" s="60"/>
      <c r="AV94" s="60"/>
      <c r="AW94"/>
      <c r="AX94" s="60"/>
      <c r="AY94" s="60"/>
      <c r="AZ94" s="60"/>
      <c r="BA94" s="60"/>
      <c r="BB94" s="60"/>
      <c r="BC94" s="60"/>
      <c r="BD94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59"/>
      <c r="BR94" s="59"/>
      <c r="BS94" s="59"/>
      <c r="BT94" s="59"/>
      <c r="BU94" s="59"/>
      <c r="BV94" s="59"/>
    </row>
    <row r="95" spans="1:80" s="42" customFormat="1" x14ac:dyDescent="0.4">
      <c r="A95" s="7"/>
      <c r="B95" s="10"/>
      <c r="C95" s="86"/>
      <c r="D95" s="86"/>
      <c r="E95" s="87"/>
      <c r="F95" s="87"/>
      <c r="G95" s="87"/>
      <c r="H95" s="87"/>
      <c r="I95" s="87"/>
      <c r="J95" s="87"/>
      <c r="K95" s="59"/>
      <c r="L95" s="59"/>
      <c r="M95" s="59"/>
      <c r="N95" s="87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60"/>
      <c r="AF95" s="60"/>
      <c r="AG95" s="60"/>
      <c r="AH95" s="60"/>
      <c r="AI95" s="60"/>
      <c r="AJ95" s="59"/>
      <c r="AK95"/>
      <c r="AL95" s="60"/>
      <c r="AM95" s="60"/>
      <c r="AN95" s="60"/>
      <c r="AO95" s="60"/>
      <c r="AP95" s="60"/>
      <c r="AQ95"/>
      <c r="AR95" s="60"/>
      <c r="AS95" s="60"/>
      <c r="AT95" s="60"/>
      <c r="AU95" s="60"/>
      <c r="AV95" s="60"/>
      <c r="AW95"/>
      <c r="AX95" s="60"/>
      <c r="AY95" s="60"/>
      <c r="AZ95" s="60"/>
      <c r="BA95" s="60"/>
      <c r="BB95" s="60"/>
      <c r="BC95" s="60"/>
      <c r="BD95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59"/>
      <c r="BR95" s="59"/>
      <c r="BS95" s="59"/>
      <c r="BT95" s="59"/>
      <c r="BU95" s="59"/>
      <c r="BV95" s="59"/>
    </row>
    <row r="96" spans="1:80" s="42" customFormat="1" x14ac:dyDescent="0.4">
      <c r="A96" s="7"/>
      <c r="B96" s="10"/>
      <c r="C96" s="86"/>
      <c r="D96" s="86"/>
      <c r="E96" s="87"/>
      <c r="F96" s="87"/>
      <c r="G96" s="87"/>
      <c r="H96" s="87"/>
      <c r="I96" s="87"/>
      <c r="J96" s="87"/>
      <c r="K96" s="59"/>
      <c r="L96" s="59"/>
      <c r="M96" s="59"/>
      <c r="N96" s="87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60"/>
      <c r="AF96" s="60"/>
      <c r="AG96" s="60"/>
      <c r="AH96" s="60"/>
      <c r="AI96" s="60"/>
      <c r="AJ96" s="59"/>
      <c r="AK96"/>
      <c r="AL96" s="60"/>
      <c r="AM96" s="60"/>
      <c r="AN96" s="60"/>
      <c r="AO96" s="60"/>
      <c r="AP96" s="60"/>
      <c r="AQ96"/>
      <c r="AR96" s="60"/>
      <c r="AS96" s="60"/>
      <c r="AT96" s="60"/>
      <c r="AU96" s="60"/>
      <c r="AV96" s="60"/>
      <c r="AW96"/>
      <c r="AX96" s="60"/>
      <c r="AY96" s="60"/>
      <c r="AZ96" s="60"/>
      <c r="BA96" s="60"/>
      <c r="BB96" s="60"/>
      <c r="BC96" s="60"/>
      <c r="BD96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59"/>
      <c r="BR96" s="59"/>
      <c r="BS96" s="59"/>
      <c r="BT96" s="59"/>
      <c r="BU96" s="59"/>
      <c r="BV96" s="59"/>
    </row>
    <row r="97" spans="1:74" s="42" customFormat="1" x14ac:dyDescent="0.4">
      <c r="A97" s="41"/>
      <c r="B97" s="7" t="s">
        <v>55</v>
      </c>
      <c r="C97" s="54">
        <f>+C29</f>
        <v>200000</v>
      </c>
      <c r="D97" s="54">
        <f>+D29</f>
        <v>100000</v>
      </c>
      <c r="E97" s="54">
        <f t="shared" ref="E97:J97" si="104">+E29</f>
        <v>0</v>
      </c>
      <c r="F97" s="54">
        <f t="shared" si="104"/>
        <v>0</v>
      </c>
      <c r="G97" s="54">
        <f t="shared" si="104"/>
        <v>0</v>
      </c>
      <c r="H97" s="54">
        <f t="shared" si="104"/>
        <v>0</v>
      </c>
      <c r="I97" s="54">
        <f t="shared" si="104"/>
        <v>200000</v>
      </c>
      <c r="J97" s="54">
        <f t="shared" si="104"/>
        <v>0</v>
      </c>
      <c r="K97" s="54">
        <v>115000</v>
      </c>
      <c r="L97" s="54">
        <f t="shared" ref="L97:T97" si="105">+L29</f>
        <v>0</v>
      </c>
      <c r="M97" s="54">
        <f t="shared" si="105"/>
        <v>0</v>
      </c>
      <c r="N97" s="54">
        <f t="shared" si="105"/>
        <v>200000</v>
      </c>
      <c r="O97" s="54">
        <f t="shared" si="105"/>
        <v>0</v>
      </c>
      <c r="P97" s="54">
        <f t="shared" si="105"/>
        <v>0</v>
      </c>
      <c r="Q97" s="54">
        <f t="shared" si="105"/>
        <v>0</v>
      </c>
      <c r="R97" s="26">
        <f t="shared" si="105"/>
        <v>0</v>
      </c>
      <c r="S97" s="26">
        <f t="shared" si="105"/>
        <v>0</v>
      </c>
      <c r="T97" s="54">
        <f t="shared" si="105"/>
        <v>100000</v>
      </c>
      <c r="U97" s="54">
        <f>-(100000+100000+100000+100000+100000+100000)</f>
        <v>-600000</v>
      </c>
      <c r="V97" s="54"/>
      <c r="W97" s="54"/>
      <c r="X97" s="54"/>
      <c r="Y97" s="54">
        <f>+Y29</f>
        <v>200000</v>
      </c>
      <c r="Z97" s="69"/>
      <c r="AA97" s="26"/>
      <c r="AB97" s="26"/>
      <c r="AC97" s="26"/>
      <c r="AD97" s="54">
        <f>+AD29</f>
        <v>0</v>
      </c>
      <c r="AE97" s="39">
        <v>0</v>
      </c>
      <c r="AF97" s="139"/>
      <c r="AG97" s="139"/>
      <c r="AH97" s="139"/>
      <c r="AI97" s="139"/>
      <c r="AJ97" s="54">
        <f>+AJ29</f>
        <v>0</v>
      </c>
      <c r="AK97" s="137"/>
      <c r="AL97" s="54">
        <f t="shared" ref="AL97:AO97" si="106">+AL29</f>
        <v>0</v>
      </c>
      <c r="AM97" s="54">
        <f t="shared" si="106"/>
        <v>100000</v>
      </c>
      <c r="AN97" s="54">
        <f t="shared" si="106"/>
        <v>100000</v>
      </c>
      <c r="AO97" s="54">
        <f t="shared" si="106"/>
        <v>0</v>
      </c>
      <c r="AP97" s="139"/>
      <c r="AQ97" s="137"/>
      <c r="AR97" s="54">
        <f t="shared" ref="AR97:AU97" si="107">+AR29</f>
        <v>0</v>
      </c>
      <c r="AS97" s="54">
        <f t="shared" si="107"/>
        <v>0</v>
      </c>
      <c r="AT97" s="54">
        <f t="shared" si="107"/>
        <v>0</v>
      </c>
      <c r="AU97" s="54">
        <f t="shared" si="107"/>
        <v>0</v>
      </c>
      <c r="AV97" s="139"/>
      <c r="AW97" s="137"/>
      <c r="AX97" s="54">
        <f t="shared" ref="AX97:BB97" si="108">+AX29</f>
        <v>0</v>
      </c>
      <c r="AY97" s="54">
        <f t="shared" si="108"/>
        <v>0</v>
      </c>
      <c r="AZ97" s="54">
        <f t="shared" si="108"/>
        <v>150000</v>
      </c>
      <c r="BA97" s="54">
        <f t="shared" si="108"/>
        <v>0</v>
      </c>
      <c r="BB97" s="54">
        <f t="shared" si="108"/>
        <v>0</v>
      </c>
      <c r="BC97" s="139"/>
      <c r="BD97" s="137"/>
      <c r="BE97" s="54">
        <f t="shared" ref="BE97:BH97" si="109">+BE29</f>
        <v>0</v>
      </c>
      <c r="BF97" s="54">
        <f t="shared" si="109"/>
        <v>200000</v>
      </c>
      <c r="BG97" s="54">
        <f t="shared" si="109"/>
        <v>0</v>
      </c>
      <c r="BH97" s="54">
        <f t="shared" si="109"/>
        <v>0</v>
      </c>
      <c r="BI97" s="139"/>
      <c r="BJ97" s="60"/>
      <c r="BK97" s="54">
        <f t="shared" ref="BK97:BV97" si="110">+BK29</f>
        <v>200000</v>
      </c>
      <c r="BL97" s="54">
        <f t="shared" si="110"/>
        <v>400000</v>
      </c>
      <c r="BM97" s="54">
        <f t="shared" si="110"/>
        <v>100000</v>
      </c>
      <c r="BN97" s="54">
        <f t="shared" si="110"/>
        <v>200000</v>
      </c>
      <c r="BO97" s="54">
        <f t="shared" si="110"/>
        <v>200000</v>
      </c>
      <c r="BP97" s="54">
        <f t="shared" si="110"/>
        <v>10000</v>
      </c>
      <c r="BQ97" s="54">
        <f t="shared" si="110"/>
        <v>0</v>
      </c>
      <c r="BR97" s="54">
        <f t="shared" si="110"/>
        <v>0</v>
      </c>
      <c r="BS97" s="54">
        <f t="shared" si="110"/>
        <v>0</v>
      </c>
      <c r="BT97" s="54">
        <f t="shared" si="110"/>
        <v>0</v>
      </c>
      <c r="BU97" s="54">
        <f t="shared" si="110"/>
        <v>0</v>
      </c>
      <c r="BV97" s="54">
        <f t="shared" si="110"/>
        <v>0</v>
      </c>
    </row>
    <row r="98" spans="1:74" s="42" customFormat="1" x14ac:dyDescent="0.4">
      <c r="A98" s="41"/>
      <c r="B98" s="22" t="s">
        <v>56</v>
      </c>
      <c r="C98" s="63">
        <v>964.7</v>
      </c>
      <c r="D98" s="63">
        <v>751.36</v>
      </c>
      <c r="E98" s="63"/>
      <c r="F98" s="63"/>
      <c r="G98" s="63"/>
      <c r="H98" s="63">
        <v>641.70000000000005</v>
      </c>
      <c r="I98" s="63">
        <v>641.70000000000005</v>
      </c>
      <c r="J98" s="54"/>
      <c r="K98" s="26"/>
      <c r="L98" s="26"/>
      <c r="M98" s="26"/>
      <c r="N98" s="54"/>
      <c r="O98" s="113">
        <v>521.48</v>
      </c>
      <c r="P98" s="26"/>
      <c r="Q98" s="26"/>
      <c r="R98" s="113"/>
      <c r="S98" s="113">
        <v>325.83</v>
      </c>
      <c r="T98" s="113">
        <f>SUM(O98:S98)</f>
        <v>847.31</v>
      </c>
      <c r="U98" s="113"/>
      <c r="V98" s="134"/>
      <c r="W98" s="134"/>
      <c r="X98" s="113">
        <v>599.5</v>
      </c>
      <c r="Y98" s="113">
        <f>SUM(U98:X98)</f>
        <v>599.5</v>
      </c>
      <c r="Z98" s="219"/>
      <c r="AA98" s="148"/>
      <c r="AB98" s="134"/>
      <c r="AC98" s="134"/>
      <c r="AD98" s="134"/>
      <c r="AE98" s="113">
        <v>606.74</v>
      </c>
      <c r="AF98" s="139"/>
      <c r="AG98" s="139"/>
      <c r="AH98" s="139"/>
      <c r="AI98" s="113">
        <v>488.86</v>
      </c>
      <c r="AJ98" s="199">
        <f>SUM(AE98:AI98)</f>
        <v>1095.5999999999999</v>
      </c>
      <c r="AK98" s="137"/>
      <c r="AL98" s="139"/>
      <c r="AM98" s="139"/>
      <c r="AN98" s="139"/>
      <c r="AO98" s="139">
        <f>AE98</f>
        <v>606.74</v>
      </c>
      <c r="AP98" s="139"/>
      <c r="AQ98" s="137"/>
      <c r="AR98" s="139"/>
      <c r="AS98" s="139"/>
      <c r="AT98" s="139"/>
      <c r="AU98" s="139"/>
      <c r="AV98" s="139"/>
      <c r="AW98" s="137"/>
      <c r="AX98" s="139"/>
      <c r="AY98" s="139"/>
      <c r="AZ98" s="139"/>
      <c r="BA98" s="139"/>
      <c r="BB98" s="139"/>
      <c r="BC98" s="139"/>
      <c r="BD98" s="137"/>
      <c r="BE98" s="139"/>
      <c r="BF98" s="139"/>
      <c r="BG98" s="139"/>
      <c r="BH98" s="139"/>
      <c r="BI98" s="139"/>
      <c r="BJ98" s="60"/>
      <c r="BK98" s="139">
        <f>BI98</f>
        <v>0</v>
      </c>
      <c r="BL98" s="139">
        <f t="shared" ref="BL98:BS98" si="111">BK98</f>
        <v>0</v>
      </c>
      <c r="BM98" s="139">
        <f t="shared" si="111"/>
        <v>0</v>
      </c>
      <c r="BN98" s="134">
        <f t="shared" si="111"/>
        <v>0</v>
      </c>
      <c r="BO98" s="134">
        <f t="shared" si="111"/>
        <v>0</v>
      </c>
      <c r="BP98" s="134">
        <f t="shared" si="111"/>
        <v>0</v>
      </c>
      <c r="BQ98" s="134">
        <f t="shared" si="111"/>
        <v>0</v>
      </c>
      <c r="BR98" s="134">
        <f t="shared" si="111"/>
        <v>0</v>
      </c>
      <c r="BS98" s="134">
        <f t="shared" si="111"/>
        <v>0</v>
      </c>
      <c r="BT98" s="134">
        <f t="shared" ref="BT98" si="112">BS98</f>
        <v>0</v>
      </c>
      <c r="BU98" s="134">
        <f t="shared" ref="BU98" si="113">BT98</f>
        <v>0</v>
      </c>
      <c r="BV98" s="134">
        <f t="shared" ref="BV98" si="114">BU98</f>
        <v>0</v>
      </c>
    </row>
    <row r="99" spans="1:74" s="42" customFormat="1" x14ac:dyDescent="0.4">
      <c r="A99" s="41"/>
      <c r="B99" s="22" t="s">
        <v>57</v>
      </c>
      <c r="C99" s="64"/>
      <c r="D99" s="64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103"/>
      <c r="P99" s="76"/>
      <c r="R99" s="134"/>
      <c r="S99" s="26"/>
      <c r="T99" s="26"/>
      <c r="U99" s="64"/>
      <c r="V99" s="134"/>
      <c r="W99" s="134"/>
      <c r="X99" s="134"/>
      <c r="Y99" s="113">
        <v>1500000</v>
      </c>
      <c r="Z99" s="145"/>
      <c r="AA99" s="134"/>
      <c r="AB99" s="134"/>
      <c r="AC99" s="134"/>
      <c r="AD99" s="134"/>
      <c r="AE99" s="139"/>
      <c r="AF99" s="139"/>
      <c r="AG99" s="139"/>
      <c r="AH99" s="139"/>
      <c r="AI99" s="139"/>
      <c r="AJ99" s="134"/>
      <c r="AK99" s="137"/>
      <c r="AL99" s="139"/>
      <c r="AM99" s="139"/>
      <c r="AN99" s="139"/>
      <c r="AO99" s="139"/>
      <c r="AP99" s="139"/>
      <c r="AQ99" s="137"/>
      <c r="AR99" s="139"/>
      <c r="AS99" s="139"/>
      <c r="AT99" s="139"/>
      <c r="AU99" s="139"/>
      <c r="AV99" s="139"/>
      <c r="AW99" s="137"/>
      <c r="AX99" s="139"/>
      <c r="AY99" s="139"/>
      <c r="AZ99" s="139"/>
      <c r="BA99" s="139"/>
      <c r="BB99" s="139"/>
      <c r="BC99" s="139"/>
      <c r="BD99" s="137"/>
      <c r="BE99" s="139"/>
      <c r="BF99" s="139"/>
      <c r="BG99" s="139"/>
      <c r="BH99" s="139"/>
      <c r="BI99" s="139"/>
      <c r="BJ99" s="60"/>
      <c r="BK99" s="139"/>
      <c r="BL99" s="139"/>
      <c r="BM99" s="139"/>
      <c r="BN99" s="134"/>
      <c r="BO99" s="134"/>
      <c r="BP99" s="134"/>
      <c r="BQ99" s="134"/>
      <c r="BR99" s="134"/>
      <c r="BS99" s="134"/>
      <c r="BT99" s="134"/>
      <c r="BU99" s="134"/>
      <c r="BV99" s="134"/>
    </row>
    <row r="100" spans="1:74" s="42" customFormat="1" x14ac:dyDescent="0.4">
      <c r="A100" s="41"/>
      <c r="B100" s="22" t="s">
        <v>58</v>
      </c>
      <c r="C100" s="64"/>
      <c r="D100" s="64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75"/>
      <c r="P100" s="26"/>
      <c r="Q100" s="26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9"/>
      <c r="AF100" s="139"/>
      <c r="AG100" s="139"/>
      <c r="AH100" s="139"/>
      <c r="AI100" s="139"/>
      <c r="AJ100" s="134"/>
      <c r="AK100" s="137"/>
      <c r="AL100" s="139"/>
      <c r="AM100" s="139"/>
      <c r="AN100" s="139"/>
      <c r="AO100" s="139"/>
      <c r="AP100" s="139"/>
      <c r="AQ100" s="137"/>
      <c r="AR100" s="139"/>
      <c r="AS100" s="139"/>
      <c r="AT100" s="139"/>
      <c r="AU100" s="139"/>
      <c r="AV100" s="139"/>
      <c r="AW100" s="137"/>
      <c r="AX100" s="139"/>
      <c r="AY100" s="139"/>
      <c r="AZ100" s="139"/>
      <c r="BA100" s="139"/>
      <c r="BB100" s="139"/>
      <c r="BC100" s="139"/>
      <c r="BD100" s="137"/>
      <c r="BE100" s="139"/>
      <c r="BF100" s="139"/>
      <c r="BG100" s="139"/>
      <c r="BH100" s="139"/>
      <c r="BI100" s="139"/>
      <c r="BJ100" s="60"/>
      <c r="BK100" s="139"/>
      <c r="BL100" s="139"/>
      <c r="BM100" s="139"/>
      <c r="BN100" s="134"/>
      <c r="BO100" s="134"/>
      <c r="BP100" s="134"/>
      <c r="BQ100" s="134"/>
      <c r="BR100" s="134"/>
      <c r="BS100" s="134"/>
      <c r="BT100" s="134"/>
      <c r="BU100" s="134"/>
      <c r="BV100" s="134"/>
    </row>
    <row r="101" spans="1:74" s="42" customFormat="1" x14ac:dyDescent="0.4">
      <c r="A101" s="45"/>
      <c r="B101" s="7" t="s">
        <v>59</v>
      </c>
      <c r="C101" s="59"/>
      <c r="D101" s="59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60"/>
      <c r="AF101" s="60"/>
      <c r="AG101" s="60"/>
      <c r="AH101" s="60"/>
      <c r="AI101" s="60"/>
      <c r="AJ101" s="55"/>
      <c r="AK101"/>
      <c r="AL101" s="60"/>
      <c r="AM101" s="60"/>
      <c r="AN101" s="60"/>
      <c r="AO101" s="60"/>
      <c r="AP101" s="60"/>
      <c r="AQ101"/>
      <c r="AR101" s="60"/>
      <c r="AS101" s="60"/>
      <c r="AT101" s="60"/>
      <c r="AU101" s="60"/>
      <c r="AV101" s="60"/>
      <c r="AW101"/>
      <c r="AX101" s="60"/>
      <c r="AY101" s="60"/>
      <c r="AZ101" s="60"/>
      <c r="BA101" s="60"/>
      <c r="BB101" s="60"/>
      <c r="BC101" s="60"/>
      <c r="BD101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59"/>
      <c r="BR101" s="59"/>
      <c r="BS101" s="59"/>
      <c r="BT101" s="59"/>
      <c r="BU101" s="59"/>
      <c r="BV101" s="59"/>
    </row>
    <row r="102" spans="1:74" s="102" customFormat="1" x14ac:dyDescent="0.4">
      <c r="A102" s="98"/>
      <c r="B102" s="99" t="s">
        <v>60</v>
      </c>
      <c r="C102" s="100">
        <f>(1654907.42-C97-C100)+C98+C99</f>
        <v>1455872.1199999999</v>
      </c>
      <c r="D102" s="100">
        <f>C102-D97+D98+D99+D100</f>
        <v>1356623.48</v>
      </c>
      <c r="E102" s="100">
        <f t="shared" ref="E102:M102" si="115">D102-E97-E100+E98</f>
        <v>1356623.48</v>
      </c>
      <c r="F102" s="100">
        <f t="shared" si="115"/>
        <v>1356623.48</v>
      </c>
      <c r="G102" s="100">
        <f t="shared" si="115"/>
        <v>1356623.48</v>
      </c>
      <c r="H102" s="100">
        <f t="shared" si="115"/>
        <v>1357265.18</v>
      </c>
      <c r="I102" s="100">
        <f>D102-I97+I98+I99+I100</f>
        <v>1157265.18</v>
      </c>
      <c r="J102" s="100">
        <f>H102-J97-J100+J98</f>
        <v>1357265.18</v>
      </c>
      <c r="K102" s="100">
        <f t="shared" si="115"/>
        <v>1242265.18</v>
      </c>
      <c r="L102" s="100">
        <f>G102-L97+L98+L99+L100</f>
        <v>1356623.48</v>
      </c>
      <c r="M102" s="100">
        <f t="shared" ref="L102:M102" si="116">H102-M97+M98+M99+M100</f>
        <v>1357265.18</v>
      </c>
      <c r="N102" s="100">
        <f>I102-N97+N98+N99+N100</f>
        <v>957265.17999999993</v>
      </c>
      <c r="O102" s="100">
        <f>N102-O97+O98+O99+O100</f>
        <v>957786.65999999992</v>
      </c>
      <c r="P102" s="100">
        <f>O102-P97+P98+P99+P100</f>
        <v>957786.65999999992</v>
      </c>
      <c r="Q102" s="100">
        <f>P102-Q97+Q98+Q99+Q100</f>
        <v>957786.65999999992</v>
      </c>
      <c r="R102" s="100">
        <f>Q102-R97+R98+R99+R100</f>
        <v>957786.65999999992</v>
      </c>
      <c r="S102" s="100">
        <f>R102-S97+S98+S99+S100</f>
        <v>958112.48999999987</v>
      </c>
      <c r="T102" s="100">
        <f>N102-T97+T98+T99+T100</f>
        <v>858112.49</v>
      </c>
      <c r="U102" s="100">
        <f>S102-U97-U100+U98</f>
        <v>1558112.4899999998</v>
      </c>
      <c r="V102" s="100">
        <f>U102-V97-V100+V98+V99</f>
        <v>1558112.4899999998</v>
      </c>
      <c r="W102" s="100">
        <f t="shared" ref="W102" si="117">V102-W97-W100+W98+W99</f>
        <v>1558112.4899999998</v>
      </c>
      <c r="X102" s="100">
        <f>W102-X97-X100+X98+X99</f>
        <v>1558711.9899999998</v>
      </c>
      <c r="Y102" s="100">
        <f>T102-Y97-Y100+Y98+Y99</f>
        <v>2158711.9900000002</v>
      </c>
      <c r="Z102" s="100">
        <f>X102-Z97-Z100+Z98+Z99</f>
        <v>1558711.9899999998</v>
      </c>
      <c r="AA102" s="100">
        <f>Z102-AA97-AA100+AA98+AA99</f>
        <v>1558711.9899999998</v>
      </c>
      <c r="AB102" s="100">
        <f>AA102-AB97-AB100+AB98+AB99</f>
        <v>1558711.9899999998</v>
      </c>
      <c r="AC102" s="100">
        <f>AB102-AC97-AC100+AC98+AC99</f>
        <v>1558711.9899999998</v>
      </c>
      <c r="AD102" s="100">
        <f>Y102-AD97-AD100+AD98+AD99</f>
        <v>2158711.9900000002</v>
      </c>
      <c r="AE102" s="100">
        <f>AC102-AE97-AE100+AE98+AE99</f>
        <v>1559318.7299999997</v>
      </c>
      <c r="AF102" s="100">
        <f>AE102-AF97-AF100+AF98+AF99</f>
        <v>1559318.7299999997</v>
      </c>
      <c r="AG102" s="100">
        <f>AF102-AG97-AG100+AG98+AG99</f>
        <v>1559318.7299999997</v>
      </c>
      <c r="AH102" s="100">
        <f>AG102-AH97-AH100+AH98+AH99</f>
        <v>1559318.7299999997</v>
      </c>
      <c r="AI102" s="100">
        <f>AH102-AI97-AI100+AI98+AI99</f>
        <v>1559807.5899999999</v>
      </c>
      <c r="AJ102" s="100">
        <f>AD102-AJ97-AJ100+AJ98+AJ99</f>
        <v>2159807.5900000003</v>
      </c>
      <c r="AK102"/>
      <c r="AL102" s="100">
        <f>AI102-AL97-AL100+AL98+AL99</f>
        <v>1559807.5899999999</v>
      </c>
      <c r="AM102" s="100">
        <f>AL102-AM97-AM100+AM98+AM99</f>
        <v>1459807.5899999999</v>
      </c>
      <c r="AN102" s="100">
        <f>AL102-AN97-AN100+AN98+AN99</f>
        <v>1459807.5899999999</v>
      </c>
      <c r="AO102" s="100">
        <f>AM102-AO97-AO100+AO98+AO99</f>
        <v>1460414.3299999998</v>
      </c>
      <c r="AP102" s="100"/>
      <c r="AQ102"/>
      <c r="AR102" s="100">
        <f>AO102-AR97-AR100+AR98+AR99</f>
        <v>1460414.3299999998</v>
      </c>
      <c r="AS102" s="100">
        <f>AR102-AS97-AS100+AS98+AS99</f>
        <v>1460414.3299999998</v>
      </c>
      <c r="AT102" s="100">
        <f t="shared" ref="AT102:AU102" si="118">AS102-AT97-AT100+AT98+AT99</f>
        <v>1460414.3299999998</v>
      </c>
      <c r="AU102" s="100">
        <f t="shared" si="118"/>
        <v>1460414.3299999998</v>
      </c>
      <c r="AV102" s="100"/>
      <c r="AW102"/>
      <c r="AX102" s="100">
        <f>AU102-AX97-AX100+AX98+AX99</f>
        <v>1460414.3299999998</v>
      </c>
      <c r="AY102" s="100">
        <f>AX102-AY97-AY100+AY98+AY99</f>
        <v>1460414.3299999998</v>
      </c>
      <c r="AZ102" s="100">
        <f t="shared" ref="AZ102:BB102" si="119">AY102-AZ97-AZ100+AZ98+AZ99</f>
        <v>1310414.3299999998</v>
      </c>
      <c r="BA102" s="100">
        <f t="shared" si="119"/>
        <v>1310414.3299999998</v>
      </c>
      <c r="BB102" s="100">
        <f t="shared" si="119"/>
        <v>1310414.3299999998</v>
      </c>
      <c r="BC102" s="100"/>
      <c r="BD102"/>
      <c r="BE102" s="100">
        <f>BB102-BE97-BE100+BE98+BE99</f>
        <v>1310414.3299999998</v>
      </c>
      <c r="BF102" s="100">
        <f>BE102-BF97-BF100+BF98+BF99</f>
        <v>1110414.3299999998</v>
      </c>
      <c r="BG102" s="100">
        <f t="shared" ref="BG102:BH102" si="120">BF102-BG97-BG100+BG98+BG99</f>
        <v>1110414.3299999998</v>
      </c>
      <c r="BH102" s="100">
        <f t="shared" si="120"/>
        <v>1110414.3299999998</v>
      </c>
      <c r="BI102" s="100"/>
      <c r="BJ102" s="101"/>
      <c r="BK102" s="100">
        <f>BH102-BK97+BK98+BK99+BK100</f>
        <v>910414.32999999984</v>
      </c>
      <c r="BL102" s="100">
        <f t="shared" ref="BL102" si="121">BK102-BL97+BL98+BL99+BL100</f>
        <v>510414.32999999984</v>
      </c>
      <c r="BM102" s="100">
        <f t="shared" ref="BM102" si="122">BL102-BM97+BM98+BM99+BM100</f>
        <v>410414.32999999984</v>
      </c>
      <c r="BN102" s="100">
        <f t="shared" ref="BN102:BS102" si="123">BM102-BN97+BN98+BN99+BN100</f>
        <v>210414.32999999984</v>
      </c>
      <c r="BO102" s="100">
        <f t="shared" si="123"/>
        <v>10414.329999999842</v>
      </c>
      <c r="BP102" s="100">
        <f t="shared" si="123"/>
        <v>414.32999999984168</v>
      </c>
      <c r="BQ102" s="100">
        <f t="shared" si="123"/>
        <v>414.32999999984168</v>
      </c>
      <c r="BR102" s="100">
        <f t="shared" si="123"/>
        <v>414.32999999984168</v>
      </c>
      <c r="BS102" s="100">
        <f t="shared" si="123"/>
        <v>414.32999999984168</v>
      </c>
      <c r="BT102" s="100">
        <f t="shared" ref="BT102" si="124">BS102-BT97+BT98+BT99+BT100</f>
        <v>414.32999999984168</v>
      </c>
      <c r="BU102" s="100">
        <f t="shared" ref="BU102" si="125">BT102-BU97+BU98+BU99+BU100</f>
        <v>414.32999999984168</v>
      </c>
      <c r="BV102" s="100">
        <f t="shared" ref="BV102" si="126">BU102-BV97+BV98+BV99+BV100</f>
        <v>414.32999999984168</v>
      </c>
    </row>
    <row r="103" spans="1:74" s="42" customFormat="1" x14ac:dyDescent="0.4">
      <c r="A103" s="165"/>
      <c r="B103" s="166"/>
      <c r="C103" s="86"/>
      <c r="D103" s="86"/>
      <c r="E103" s="87"/>
      <c r="F103" s="87"/>
      <c r="G103" s="87"/>
      <c r="H103" s="87"/>
      <c r="I103" s="87"/>
      <c r="J103" s="87"/>
      <c r="K103" s="59"/>
      <c r="L103" s="59"/>
      <c r="M103" s="59"/>
      <c r="N103" s="87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60"/>
      <c r="AF103" s="60"/>
      <c r="AG103" s="60"/>
      <c r="AH103" s="60"/>
      <c r="AI103" s="60"/>
      <c r="AJ103" s="59"/>
      <c r="AK103"/>
      <c r="AL103" s="60"/>
      <c r="AM103" s="60"/>
      <c r="AN103" s="60"/>
      <c r="AO103" s="60"/>
      <c r="AP103" s="60"/>
      <c r="AQ103"/>
      <c r="AR103" s="60"/>
      <c r="AS103" s="60"/>
      <c r="AT103" s="60"/>
      <c r="AU103" s="60"/>
      <c r="AV103" s="60"/>
      <c r="AW103"/>
      <c r="AX103" s="60"/>
      <c r="AY103" s="60"/>
      <c r="AZ103" s="60"/>
      <c r="BA103" s="60"/>
      <c r="BB103" s="60"/>
      <c r="BC103" s="60"/>
      <c r="BD103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59"/>
      <c r="BR103" s="59"/>
      <c r="BS103" s="59"/>
      <c r="BT103" s="59"/>
      <c r="BU103" s="59"/>
      <c r="BV103" s="59"/>
    </row>
    <row r="104" spans="1:74" s="42" customFormat="1" x14ac:dyDescent="0.4">
      <c r="A104" s="7"/>
      <c r="B104" s="7"/>
      <c r="C104" s="59"/>
      <c r="D104" s="59"/>
      <c r="E104" s="55"/>
      <c r="F104" s="55"/>
      <c r="G104" s="55"/>
      <c r="H104" s="55"/>
      <c r="I104" s="55"/>
      <c r="J104" s="55"/>
      <c r="K104" s="59"/>
      <c r="L104" s="59"/>
      <c r="M104" s="94"/>
      <c r="N104" s="94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/>
      <c r="AL104" s="59"/>
      <c r="AM104" s="59"/>
      <c r="AN104" s="59"/>
      <c r="AO104" s="59"/>
      <c r="AP104" s="59"/>
      <c r="AQ104"/>
      <c r="AR104" s="59"/>
      <c r="AS104" s="59"/>
      <c r="AT104" s="59"/>
      <c r="AU104" s="59"/>
      <c r="AV104" s="59"/>
      <c r="AW104"/>
      <c r="AX104" s="59"/>
      <c r="AY104" s="59"/>
      <c r="AZ104" s="59"/>
      <c r="BA104" s="59"/>
      <c r="BB104" s="59"/>
      <c r="BC104" s="59"/>
      <c r="BD104"/>
      <c r="BE104" s="59"/>
      <c r="BF104" s="59"/>
      <c r="BG104" s="59"/>
      <c r="BH104" s="59"/>
      <c r="BI104" s="59"/>
      <c r="BJ104" s="60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</row>
    <row r="105" spans="1:74" s="42" customFormat="1" x14ac:dyDescent="0.4">
      <c r="A105" s="7"/>
      <c r="B105" s="7"/>
      <c r="C105" s="59"/>
      <c r="D105" s="59"/>
      <c r="E105" s="55"/>
      <c r="F105" s="55"/>
      <c r="G105" s="55"/>
      <c r="H105" s="55"/>
      <c r="I105" s="55"/>
      <c r="J105" s="55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/>
      <c r="AL105" s="59"/>
      <c r="AM105" s="59"/>
      <c r="AN105" s="59"/>
      <c r="AO105" s="59"/>
      <c r="AP105" s="59"/>
      <c r="AQ105"/>
      <c r="AR105" s="59"/>
      <c r="AS105" s="59"/>
      <c r="AT105" s="59"/>
      <c r="AU105" s="59"/>
      <c r="AV105" s="59"/>
      <c r="AW105"/>
      <c r="AX105" s="59"/>
      <c r="AY105" s="59"/>
      <c r="AZ105" s="59"/>
      <c r="BA105" s="59"/>
      <c r="BB105" s="59"/>
      <c r="BC105" s="59"/>
      <c r="BD105"/>
      <c r="BE105" s="59"/>
      <c r="BF105" s="59"/>
      <c r="BG105" s="59"/>
      <c r="BH105" s="59"/>
      <c r="BI105" s="59"/>
      <c r="BJ105" s="60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</row>
    <row r="106" spans="1:74" s="42" customFormat="1" x14ac:dyDescent="0.4">
      <c r="A106" s="7"/>
      <c r="B106" s="7"/>
      <c r="C106" s="59"/>
      <c r="D106" s="59"/>
      <c r="E106" s="55"/>
      <c r="F106" s="55"/>
      <c r="G106" s="55"/>
      <c r="H106" s="55"/>
      <c r="I106" s="55"/>
      <c r="J106" s="55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/>
      <c r="AL106" s="59"/>
      <c r="AM106" s="59"/>
      <c r="AN106" s="59"/>
      <c r="AO106" s="59"/>
      <c r="AP106" s="59"/>
      <c r="AQ106"/>
      <c r="AR106" s="59"/>
      <c r="AS106" s="59"/>
      <c r="AT106" s="59"/>
      <c r="AU106" s="59"/>
      <c r="AV106" s="59"/>
      <c r="AW106"/>
      <c r="AX106" s="59"/>
      <c r="AY106" s="59"/>
      <c r="AZ106" s="59"/>
      <c r="BA106" s="59"/>
      <c r="BB106" s="59"/>
      <c r="BC106" s="59"/>
      <c r="BD106"/>
      <c r="BE106" s="59"/>
      <c r="BF106" s="59"/>
      <c r="BG106" s="59"/>
      <c r="BH106" s="59"/>
      <c r="BI106" s="59"/>
      <c r="BJ106" s="60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</row>
    <row r="107" spans="1:74" s="42" customFormat="1" x14ac:dyDescent="0.4">
      <c r="A107" s="7"/>
      <c r="B107" s="7" t="s">
        <v>61</v>
      </c>
      <c r="C107" s="59"/>
      <c r="D107" s="59"/>
      <c r="E107" s="55"/>
      <c r="F107" s="55"/>
      <c r="G107" s="55"/>
      <c r="H107" s="55"/>
      <c r="I107" s="55"/>
      <c r="J107" s="55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/>
      <c r="AL107" s="59"/>
      <c r="AM107" s="59"/>
      <c r="AN107" s="59"/>
      <c r="AO107" s="59"/>
      <c r="AP107" s="59"/>
      <c r="AQ107"/>
      <c r="AR107" s="59"/>
      <c r="AS107" s="59"/>
      <c r="AT107" s="59"/>
      <c r="AU107" s="59"/>
      <c r="AV107" s="59"/>
      <c r="AW107"/>
      <c r="AX107" s="59"/>
      <c r="AY107" s="59"/>
      <c r="AZ107" s="59"/>
      <c r="BA107" s="59"/>
      <c r="BB107" s="59"/>
      <c r="BC107" s="59"/>
      <c r="BD107"/>
      <c r="BE107" s="59"/>
      <c r="BF107" s="59"/>
      <c r="BG107" s="59"/>
      <c r="BH107" s="59"/>
      <c r="BI107" s="59"/>
      <c r="BJ107" s="60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</row>
    <row r="108" spans="1:74" s="42" customFormat="1" x14ac:dyDescent="0.4">
      <c r="A108" s="7"/>
      <c r="B108" s="10" t="s">
        <v>62</v>
      </c>
      <c r="C108" s="31"/>
      <c r="D108" s="31"/>
      <c r="E108" s="19"/>
      <c r="F108" s="32"/>
      <c r="G108" s="19"/>
      <c r="H108" s="19"/>
      <c r="I108" s="19"/>
      <c r="J108" s="19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/>
      <c r="AL108" s="7"/>
      <c r="AM108" s="7"/>
      <c r="AN108" s="7"/>
      <c r="AO108" s="7"/>
      <c r="AP108" s="7"/>
      <c r="AQ108"/>
      <c r="AR108" s="7"/>
      <c r="AS108" s="7"/>
      <c r="AT108" s="7"/>
      <c r="AV108" s="7"/>
      <c r="AW108"/>
      <c r="AX108" s="7"/>
      <c r="AY108" s="7"/>
      <c r="AZ108" s="7"/>
      <c r="BA108" s="7"/>
      <c r="BB108" s="249"/>
      <c r="BC108" s="249"/>
      <c r="BD108" s="250"/>
      <c r="BE108" s="249"/>
      <c r="BF108" s="249"/>
      <c r="BG108" s="249"/>
      <c r="BH108" s="249"/>
      <c r="BI108" s="251"/>
      <c r="BJ108" s="252"/>
      <c r="BK108" s="251"/>
      <c r="BL108" s="251"/>
      <c r="BM108" s="305" t="s">
        <v>146</v>
      </c>
      <c r="BN108" s="305"/>
      <c r="BO108" s="305"/>
      <c r="BP108" s="305"/>
      <c r="BQ108" s="305"/>
      <c r="BR108" s="305"/>
      <c r="BS108" s="305"/>
      <c r="BT108" s="277"/>
      <c r="BU108" s="277"/>
      <c r="BV108" s="277"/>
    </row>
    <row r="109" spans="1:74" s="42" customFormat="1" x14ac:dyDescent="0.4">
      <c r="A109" s="7"/>
      <c r="B109" s="7" t="s">
        <v>63</v>
      </c>
      <c r="C109" s="11"/>
      <c r="D109" s="11"/>
      <c r="E109" s="19"/>
      <c r="F109" s="19"/>
      <c r="G109" s="19"/>
      <c r="H109" s="19"/>
      <c r="I109" s="19"/>
      <c r="J109" s="19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/>
      <c r="AL109" s="7"/>
      <c r="AM109" s="7"/>
      <c r="AN109" s="7"/>
      <c r="AO109" s="7"/>
      <c r="AP109" s="7"/>
      <c r="AQ109"/>
      <c r="AR109" s="7"/>
      <c r="AS109" s="7"/>
      <c r="AT109" s="7"/>
      <c r="AU109" s="14"/>
      <c r="AV109" s="7"/>
      <c r="AW109"/>
      <c r="AX109" s="7"/>
      <c r="AY109" s="7"/>
      <c r="AZ109" s="7"/>
      <c r="BA109" s="7"/>
      <c r="BB109" s="249"/>
      <c r="BC109" s="249"/>
      <c r="BD109" s="250"/>
      <c r="BE109" s="249"/>
      <c r="BF109" s="249"/>
      <c r="BG109" s="249"/>
      <c r="BH109" s="249" t="s">
        <v>64</v>
      </c>
      <c r="BI109" s="251"/>
      <c r="BJ109" s="249"/>
      <c r="BK109" s="251" t="s">
        <v>65</v>
      </c>
      <c r="BL109" s="251" t="s">
        <v>66</v>
      </c>
      <c r="BM109" s="253" t="s">
        <v>20</v>
      </c>
      <c r="BN109" s="253" t="s">
        <v>21</v>
      </c>
      <c r="BO109" s="253" t="s">
        <v>1</v>
      </c>
      <c r="BP109" s="253" t="s">
        <v>22</v>
      </c>
      <c r="BQ109" s="253" t="s">
        <v>15</v>
      </c>
      <c r="BR109" s="253" t="s">
        <v>23</v>
      </c>
      <c r="BS109" s="253" t="s">
        <v>24</v>
      </c>
      <c r="BT109" s="253" t="s">
        <v>25</v>
      </c>
      <c r="BU109" s="253" t="s">
        <v>26</v>
      </c>
      <c r="BV109" s="253" t="s">
        <v>18</v>
      </c>
    </row>
    <row r="110" spans="1:74" s="42" customFormat="1" x14ac:dyDescent="0.4">
      <c r="A110" s="7"/>
      <c r="B110" s="7" t="s">
        <v>67</v>
      </c>
      <c r="C110" s="11"/>
      <c r="D110" s="11"/>
      <c r="E110" s="19"/>
      <c r="F110" s="19"/>
      <c r="G110" s="19"/>
      <c r="H110" s="19"/>
      <c r="I110" s="19"/>
      <c r="J110" s="19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/>
      <c r="AL110" s="7"/>
      <c r="AM110" s="7"/>
      <c r="AN110" s="7"/>
      <c r="AO110" s="7"/>
      <c r="AP110" s="7"/>
      <c r="AQ110"/>
      <c r="AR110" s="7"/>
      <c r="AS110" s="7"/>
      <c r="AT110" s="7"/>
      <c r="AU110" s="7"/>
      <c r="AV110" s="7"/>
      <c r="AW110"/>
      <c r="AX110" s="7"/>
      <c r="AY110" s="7"/>
      <c r="AZ110" s="7"/>
      <c r="BA110" s="7"/>
      <c r="BB110" s="7"/>
      <c r="BC110" s="7"/>
      <c r="BD110"/>
      <c r="BE110" s="7"/>
      <c r="BF110" s="7"/>
      <c r="BG110" s="7"/>
      <c r="BH110" s="7">
        <v>2</v>
      </c>
      <c r="BI110" s="27"/>
      <c r="BK110" s="7">
        <v>1</v>
      </c>
      <c r="BL110" s="27">
        <v>0</v>
      </c>
      <c r="BM110" s="27">
        <v>1</v>
      </c>
      <c r="BN110" s="27">
        <f>BM110</f>
        <v>1</v>
      </c>
      <c r="BO110" s="27">
        <v>2</v>
      </c>
      <c r="BP110" s="27">
        <f t="shared" ref="BP110:BT110" si="127">BO110</f>
        <v>2</v>
      </c>
      <c r="BQ110" s="27">
        <f t="shared" si="127"/>
        <v>2</v>
      </c>
      <c r="BR110" s="27">
        <v>3</v>
      </c>
      <c r="BS110" s="27">
        <f t="shared" si="127"/>
        <v>3</v>
      </c>
      <c r="BT110" s="27">
        <f t="shared" si="127"/>
        <v>3</v>
      </c>
      <c r="BU110" s="27">
        <v>3</v>
      </c>
      <c r="BV110" s="27">
        <v>3</v>
      </c>
    </row>
    <row r="111" spans="1:74" s="42" customFormat="1" x14ac:dyDescent="0.4">
      <c r="A111" s="7"/>
      <c r="B111" s="7" t="s">
        <v>68</v>
      </c>
      <c r="C111" s="11"/>
      <c r="D111" s="11"/>
      <c r="E111" s="19"/>
      <c r="F111" s="19"/>
      <c r="G111" s="19"/>
      <c r="H111" s="19"/>
      <c r="I111" s="19"/>
      <c r="J111" s="19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33"/>
      <c r="AC111" s="7"/>
      <c r="AD111" s="7"/>
      <c r="AE111" s="33"/>
      <c r="AF111" s="33"/>
      <c r="AG111" s="33"/>
      <c r="AH111" s="33"/>
      <c r="AI111" s="33"/>
      <c r="AJ111" s="7"/>
      <c r="AK111"/>
      <c r="AL111" s="33"/>
      <c r="AM111" s="33"/>
      <c r="AN111" s="33"/>
      <c r="AO111" s="33"/>
      <c r="AP111" s="33"/>
      <c r="AQ111"/>
      <c r="AR111" s="33"/>
      <c r="AS111" s="33"/>
      <c r="AT111" s="33"/>
      <c r="AU111" s="33"/>
      <c r="AV111" s="33"/>
      <c r="AW111"/>
      <c r="AX111" s="33"/>
      <c r="AY111" s="33"/>
      <c r="AZ111" s="33"/>
      <c r="BA111" s="33"/>
      <c r="BB111" s="33"/>
      <c r="BC111" s="33"/>
      <c r="BD111"/>
      <c r="BE111" s="33"/>
      <c r="BF111" s="33"/>
      <c r="BG111" s="33"/>
      <c r="BH111" s="33">
        <f>(100000+50000)/BH110</f>
        <v>75000</v>
      </c>
      <c r="BI111" s="33"/>
      <c r="BK111" s="33">
        <f>(50000)/BK110</f>
        <v>50000</v>
      </c>
      <c r="BL111" s="33">
        <v>0</v>
      </c>
      <c r="BM111" s="33">
        <v>65000</v>
      </c>
      <c r="BN111" s="33">
        <f>BM111</f>
        <v>65000</v>
      </c>
      <c r="BO111" s="33">
        <f t="shared" ref="BO111:BV111" si="128">BN111</f>
        <v>65000</v>
      </c>
      <c r="BP111" s="33">
        <f t="shared" si="128"/>
        <v>65000</v>
      </c>
      <c r="BQ111" s="33">
        <f t="shared" si="128"/>
        <v>65000</v>
      </c>
      <c r="BR111" s="33">
        <f t="shared" si="128"/>
        <v>65000</v>
      </c>
      <c r="BS111" s="33">
        <f t="shared" si="128"/>
        <v>65000</v>
      </c>
      <c r="BT111" s="33">
        <f t="shared" si="128"/>
        <v>65000</v>
      </c>
      <c r="BU111" s="33">
        <f t="shared" si="128"/>
        <v>65000</v>
      </c>
      <c r="BV111" s="33">
        <f t="shared" si="128"/>
        <v>65000</v>
      </c>
    </row>
    <row r="112" spans="1:74" s="42" customFormat="1" x14ac:dyDescent="0.4">
      <c r="A112" s="7"/>
      <c r="B112" s="7" t="s">
        <v>69</v>
      </c>
      <c r="C112" s="11"/>
      <c r="D112" s="11"/>
      <c r="E112" s="19"/>
      <c r="F112" s="19"/>
      <c r="G112" s="19"/>
      <c r="H112" s="19"/>
      <c r="I112" s="19"/>
      <c r="J112" s="19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180"/>
      <c r="AC112" s="7"/>
      <c r="AD112" s="7"/>
      <c r="AE112" s="180"/>
      <c r="AF112" s="180"/>
      <c r="AG112" s="180"/>
      <c r="AH112" s="180"/>
      <c r="AI112" s="180">
        <f>AI110*AI111</f>
        <v>0</v>
      </c>
      <c r="AJ112" s="7"/>
      <c r="AK112"/>
      <c r="AL112" s="180"/>
      <c r="AM112" s="180"/>
      <c r="AN112" s="180"/>
      <c r="AO112" s="180"/>
      <c r="AP112" s="180"/>
      <c r="AQ112"/>
      <c r="AR112" s="180"/>
      <c r="AS112" s="180"/>
      <c r="AT112" s="180"/>
      <c r="AU112" s="180"/>
      <c r="AV112" s="180"/>
      <c r="AW112"/>
      <c r="AX112" s="180"/>
      <c r="AY112" s="180"/>
      <c r="AZ112" s="180"/>
      <c r="BA112" s="180"/>
      <c r="BB112" s="180"/>
      <c r="BC112" s="180"/>
      <c r="BD112"/>
      <c r="BE112" s="180"/>
      <c r="BF112" s="180"/>
      <c r="BG112" s="180"/>
      <c r="BH112" s="180">
        <f>BH110*BH111</f>
        <v>150000</v>
      </c>
      <c r="BI112" s="180"/>
      <c r="BK112" s="180">
        <f>BK110*BK111</f>
        <v>50000</v>
      </c>
      <c r="BL112" s="180">
        <f t="shared" ref="BL112:BM112" si="129">BL110*BL111</f>
        <v>0</v>
      </c>
      <c r="BM112" s="180">
        <f t="shared" si="129"/>
        <v>65000</v>
      </c>
      <c r="BN112" s="180">
        <f t="shared" ref="BN112:BS112" si="130">BN110*BN111</f>
        <v>65000</v>
      </c>
      <c r="BO112" s="180">
        <f t="shared" si="130"/>
        <v>130000</v>
      </c>
      <c r="BP112" s="180">
        <f t="shared" si="130"/>
        <v>130000</v>
      </c>
      <c r="BQ112" s="180">
        <f t="shared" si="130"/>
        <v>130000</v>
      </c>
      <c r="BR112" s="180">
        <f t="shared" si="130"/>
        <v>195000</v>
      </c>
      <c r="BS112" s="180">
        <f t="shared" si="130"/>
        <v>195000</v>
      </c>
      <c r="BT112" s="180">
        <f t="shared" ref="BT112:BV112" si="131">BT110*BT111</f>
        <v>195000</v>
      </c>
      <c r="BU112" s="180">
        <f t="shared" si="131"/>
        <v>195000</v>
      </c>
      <c r="BV112" s="180">
        <f t="shared" si="131"/>
        <v>195000</v>
      </c>
    </row>
    <row r="113" spans="1:74" s="42" customFormat="1" ht="13.3" x14ac:dyDescent="0.3">
      <c r="A113" s="7"/>
      <c r="B113" s="7" t="s">
        <v>70</v>
      </c>
      <c r="C113" s="7"/>
      <c r="D113" s="7"/>
      <c r="E113" s="19"/>
      <c r="F113" s="7"/>
      <c r="G113" s="19"/>
      <c r="H113" s="19"/>
      <c r="I113" s="19"/>
      <c r="J113" s="19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30"/>
      <c r="AC113" s="30"/>
      <c r="AD113" s="7"/>
      <c r="AE113" s="30"/>
      <c r="AF113" s="30"/>
      <c r="AG113" s="30"/>
      <c r="AH113" s="30"/>
      <c r="AI113" s="30">
        <f>AI112*-0.1</f>
        <v>0</v>
      </c>
      <c r="AJ113" s="7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>
        <f>BH112*-0.1</f>
        <v>-15000</v>
      </c>
      <c r="BI113" s="30"/>
      <c r="BK113" s="30">
        <f>BK112*-0.1</f>
        <v>-5000</v>
      </c>
      <c r="BL113" s="30">
        <f t="shared" ref="BL113:BM113" si="132">BL112*-0.1</f>
        <v>0</v>
      </c>
      <c r="BM113" s="30">
        <f t="shared" si="132"/>
        <v>-6500</v>
      </c>
      <c r="BN113" s="30">
        <f t="shared" ref="BN113:BS113" si="133">BN112*-0.1</f>
        <v>-6500</v>
      </c>
      <c r="BO113" s="30">
        <f t="shared" si="133"/>
        <v>-13000</v>
      </c>
      <c r="BP113" s="30">
        <f t="shared" si="133"/>
        <v>-13000</v>
      </c>
      <c r="BQ113" s="30">
        <f t="shared" si="133"/>
        <v>-13000</v>
      </c>
      <c r="BR113" s="30">
        <f t="shared" si="133"/>
        <v>-19500</v>
      </c>
      <c r="BS113" s="30">
        <f t="shared" si="133"/>
        <v>-19500</v>
      </c>
      <c r="BT113" s="30">
        <f t="shared" ref="BT113:BV113" si="134">BT112*-0.1</f>
        <v>-19500</v>
      </c>
      <c r="BU113" s="30">
        <f t="shared" si="134"/>
        <v>-19500</v>
      </c>
      <c r="BV113" s="30">
        <f t="shared" si="134"/>
        <v>-19500</v>
      </c>
    </row>
    <row r="114" spans="1:74" s="42" customFormat="1" x14ac:dyDescent="0.4">
      <c r="A114" s="7"/>
      <c r="B114" s="7"/>
      <c r="C114" s="11"/>
      <c r="D114" s="11"/>
      <c r="E114" s="19"/>
      <c r="F114" s="19"/>
      <c r="G114" s="19"/>
      <c r="H114" s="19"/>
      <c r="I114" s="19"/>
      <c r="J114" s="19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/>
      <c r="AL114" s="7"/>
      <c r="AM114" s="7"/>
      <c r="AN114" s="7"/>
      <c r="AO114" s="7"/>
      <c r="AP114" s="7"/>
      <c r="AQ114"/>
      <c r="AR114" s="7"/>
      <c r="AS114" s="7"/>
      <c r="AT114" s="7"/>
      <c r="AU114" s="7"/>
      <c r="AV114" s="7"/>
      <c r="AW114"/>
      <c r="AX114" s="7"/>
      <c r="AY114" s="7"/>
      <c r="AZ114" s="7"/>
      <c r="BA114" s="7"/>
      <c r="BB114" s="7"/>
      <c r="BC114" s="7"/>
      <c r="BD114"/>
      <c r="BE114" s="7"/>
      <c r="BF114" s="7"/>
      <c r="BG114" s="7"/>
      <c r="BH114" s="7"/>
      <c r="BI114" s="30"/>
      <c r="BK114" s="7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</row>
    <row r="115" spans="1:74" s="42" customFormat="1" x14ac:dyDescent="0.4">
      <c r="A115" s="7"/>
      <c r="B115" s="7" t="s">
        <v>71</v>
      </c>
      <c r="C115" s="11"/>
      <c r="D115" s="11"/>
      <c r="E115" s="19"/>
      <c r="F115" s="19"/>
      <c r="G115" s="19"/>
      <c r="H115" s="19"/>
      <c r="I115" s="19"/>
      <c r="J115" s="19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B115" s="180"/>
      <c r="AC115" s="7"/>
      <c r="AD115" s="7"/>
      <c r="AE115" s="180"/>
      <c r="AF115" s="180"/>
      <c r="AG115" s="180"/>
      <c r="AH115" s="180"/>
      <c r="AI115" s="180">
        <f>SUM(AI112:AI113)</f>
        <v>0</v>
      </c>
      <c r="AJ115" s="7"/>
      <c r="AK115"/>
      <c r="AL115" s="180"/>
      <c r="AM115" s="180"/>
      <c r="AN115" s="180"/>
      <c r="AO115" s="180"/>
      <c r="AP115" s="180"/>
      <c r="AQ115"/>
      <c r="AR115" s="180"/>
      <c r="AS115" s="180"/>
      <c r="AT115" s="180"/>
      <c r="AU115" s="180"/>
      <c r="AV115" s="180"/>
      <c r="AW115"/>
      <c r="AX115" s="180"/>
      <c r="AY115" s="180"/>
      <c r="AZ115" s="180"/>
      <c r="BA115" s="180"/>
      <c r="BB115" s="180"/>
      <c r="BC115" s="180"/>
      <c r="BD115"/>
      <c r="BE115" s="180"/>
      <c r="BF115" s="180"/>
      <c r="BG115" s="181">
        <v>1</v>
      </c>
      <c r="BH115" s="180">
        <f>SUM(BH112:BH113)</f>
        <v>135000</v>
      </c>
      <c r="BI115" s="180"/>
      <c r="BK115" s="180">
        <f>SUM(BK112:BK113)</f>
        <v>45000</v>
      </c>
      <c r="BL115" s="180">
        <f t="shared" ref="BL115:BM115" si="135">SUM(BL112:BL113)</f>
        <v>0</v>
      </c>
      <c r="BM115" s="180">
        <f t="shared" si="135"/>
        <v>58500</v>
      </c>
      <c r="BN115" s="180">
        <f t="shared" ref="BN115:BS115" si="136">SUM(BN112:BN113)</f>
        <v>58500</v>
      </c>
      <c r="BO115" s="180">
        <f t="shared" si="136"/>
        <v>117000</v>
      </c>
      <c r="BP115" s="180">
        <f t="shared" si="136"/>
        <v>117000</v>
      </c>
      <c r="BQ115" s="180">
        <f t="shared" si="136"/>
        <v>117000</v>
      </c>
      <c r="BR115" s="180">
        <f t="shared" si="136"/>
        <v>175500</v>
      </c>
      <c r="BS115" s="180">
        <f t="shared" si="136"/>
        <v>175500</v>
      </c>
      <c r="BT115" s="180">
        <f t="shared" ref="BT115:BV115" si="137">SUM(BT112:BT113)</f>
        <v>175500</v>
      </c>
      <c r="BU115" s="180">
        <f t="shared" si="137"/>
        <v>175500</v>
      </c>
      <c r="BV115" s="180">
        <f t="shared" si="137"/>
        <v>175500</v>
      </c>
    </row>
    <row r="116" spans="1:74" s="42" customFormat="1" x14ac:dyDescent="0.4">
      <c r="A116" s="7"/>
      <c r="B116" s="7" t="s">
        <v>72</v>
      </c>
      <c r="D116" s="11"/>
      <c r="E116" s="19"/>
      <c r="F116" s="19"/>
      <c r="G116" s="19"/>
      <c r="H116" s="19"/>
      <c r="I116" s="19"/>
      <c r="J116" s="19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I116" s="7"/>
      <c r="AK116"/>
      <c r="AL116" s="7"/>
      <c r="AM116" s="7"/>
      <c r="AN116" s="7"/>
      <c r="AO116" s="7"/>
      <c r="AP116" s="7"/>
      <c r="AQ116"/>
      <c r="AR116" s="7"/>
      <c r="AS116" s="7"/>
      <c r="AT116" s="7"/>
      <c r="AU116" s="7"/>
      <c r="AV116" s="7"/>
      <c r="AW116"/>
      <c r="AX116" s="7"/>
      <c r="AY116" s="7"/>
      <c r="AZ116" s="7"/>
      <c r="BA116" s="7"/>
      <c r="BB116" s="7"/>
      <c r="BC116" s="7"/>
      <c r="BD116"/>
      <c r="BE116" s="7"/>
      <c r="BF116" s="7"/>
      <c r="BG116" s="7"/>
      <c r="BH116" s="7"/>
      <c r="BI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</row>
    <row r="117" spans="1:74" s="42" customFormat="1" x14ac:dyDescent="0.4">
      <c r="A117" s="7"/>
      <c r="B117" s="7" t="s">
        <v>73</v>
      </c>
      <c r="C117" s="11"/>
      <c r="D117" s="11"/>
      <c r="E117" s="19"/>
      <c r="F117" s="19"/>
      <c r="G117" s="19"/>
      <c r="H117" s="19"/>
      <c r="I117" s="19"/>
      <c r="J117" s="19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B117" s="180"/>
      <c r="AC117" s="7"/>
      <c r="AD117" s="7"/>
      <c r="AE117" s="180"/>
      <c r="AF117" s="180"/>
      <c r="AG117" s="180"/>
      <c r="AH117" s="180"/>
      <c r="AI117" s="180"/>
      <c r="AJ117" s="7"/>
      <c r="AK117"/>
      <c r="AL117" s="180"/>
      <c r="AM117" s="180"/>
      <c r="AN117" s="180"/>
      <c r="AO117" s="180"/>
      <c r="AP117" s="180"/>
      <c r="AQ117"/>
      <c r="AR117" s="180"/>
      <c r="AS117" s="180"/>
      <c r="AT117" s="180"/>
      <c r="AU117" s="180"/>
      <c r="AV117" s="180"/>
      <c r="AW117"/>
      <c r="AX117" s="180"/>
      <c r="AY117" s="180"/>
      <c r="AZ117" s="180"/>
      <c r="BA117" s="180"/>
      <c r="BB117" s="180"/>
      <c r="BC117" s="180"/>
      <c r="BD117"/>
      <c r="BE117" s="180"/>
      <c r="BF117" s="180"/>
      <c r="BG117" s="180"/>
      <c r="BH117" s="180">
        <f>BH115*$BG$115</f>
        <v>135000</v>
      </c>
      <c r="BI117" s="180"/>
      <c r="BK117" s="180">
        <f t="shared" ref="BK117:BV117" si="138">BK115*$BG$115</f>
        <v>45000</v>
      </c>
      <c r="BL117" s="180">
        <f t="shared" si="138"/>
        <v>0</v>
      </c>
      <c r="BM117" s="180">
        <f t="shared" si="138"/>
        <v>58500</v>
      </c>
      <c r="BN117" s="180">
        <f t="shared" si="138"/>
        <v>58500</v>
      </c>
      <c r="BO117" s="180">
        <f t="shared" si="138"/>
        <v>117000</v>
      </c>
      <c r="BP117" s="180">
        <f t="shared" si="138"/>
        <v>117000</v>
      </c>
      <c r="BQ117" s="180">
        <f t="shared" si="138"/>
        <v>117000</v>
      </c>
      <c r="BR117" s="180">
        <f t="shared" si="138"/>
        <v>175500</v>
      </c>
      <c r="BS117" s="180">
        <f t="shared" si="138"/>
        <v>175500</v>
      </c>
      <c r="BT117" s="180">
        <f t="shared" si="138"/>
        <v>175500</v>
      </c>
      <c r="BU117" s="180">
        <f t="shared" si="138"/>
        <v>175500</v>
      </c>
      <c r="BV117" s="180">
        <f t="shared" si="138"/>
        <v>175500</v>
      </c>
    </row>
    <row r="118" spans="1:74" s="42" customFormat="1" x14ac:dyDescent="0.4">
      <c r="A118" s="7"/>
      <c r="B118" s="7"/>
      <c r="C118" s="7"/>
      <c r="D118" s="7"/>
      <c r="E118" s="19"/>
      <c r="F118" s="19"/>
      <c r="G118" s="19"/>
      <c r="H118" s="19"/>
      <c r="I118" s="19"/>
      <c r="J118" s="19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/>
      <c r="AL118" s="7"/>
      <c r="AM118" s="7"/>
      <c r="AN118" s="7"/>
      <c r="AO118" s="7"/>
      <c r="AP118" s="7"/>
      <c r="AQ118"/>
      <c r="AR118" s="7"/>
      <c r="AS118" s="7"/>
      <c r="AT118" s="7"/>
      <c r="AU118" s="7"/>
      <c r="AV118" s="7"/>
      <c r="AW118"/>
      <c r="AX118" s="7"/>
      <c r="AY118" s="7"/>
      <c r="AZ118" s="7"/>
      <c r="BA118" s="7"/>
      <c r="BB118" s="7"/>
      <c r="BC118" s="7"/>
      <c r="BD118"/>
      <c r="BE118" s="7"/>
      <c r="BF118" s="7"/>
      <c r="BG118" s="7"/>
      <c r="BH118" s="7"/>
      <c r="BI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</row>
    <row r="119" spans="1:74" s="42" customFormat="1" x14ac:dyDescent="0.4">
      <c r="A119" s="7"/>
      <c r="B119" s="7" t="s">
        <v>131</v>
      </c>
      <c r="C119" s="7"/>
      <c r="D119" s="7"/>
      <c r="E119" s="19"/>
      <c r="F119" s="19"/>
      <c r="G119" s="19"/>
      <c r="H119" s="19"/>
      <c r="I119" s="19"/>
      <c r="J119" s="19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/>
      <c r="AL119" s="7"/>
      <c r="AM119" s="7"/>
      <c r="AN119" s="7"/>
      <c r="AO119" s="7"/>
      <c r="AP119" s="7"/>
      <c r="AQ119"/>
      <c r="AR119" s="7"/>
      <c r="AS119" s="7"/>
      <c r="AT119" s="7"/>
      <c r="AU119" s="7"/>
      <c r="AV119" s="7"/>
      <c r="AW119"/>
      <c r="AX119" s="7"/>
      <c r="AY119" s="7"/>
      <c r="AZ119" s="7"/>
      <c r="BA119" s="7"/>
      <c r="BB119" s="7"/>
      <c r="BC119" s="7"/>
      <c r="BD119"/>
      <c r="BE119" s="7"/>
      <c r="BF119" s="7"/>
      <c r="BG119" s="7"/>
      <c r="BH119" s="7"/>
      <c r="BI119" s="27"/>
      <c r="BK119" s="27"/>
      <c r="BL119" s="27"/>
      <c r="BM119" s="27"/>
      <c r="BN119" s="27"/>
      <c r="BO119" s="27">
        <f>6250*$BG$115*1.2</f>
        <v>7500</v>
      </c>
      <c r="BP119" s="27">
        <f>BO119</f>
        <v>7500</v>
      </c>
      <c r="BQ119" s="27">
        <f>BP119</f>
        <v>7500</v>
      </c>
      <c r="BR119" s="27">
        <f>(BQ119+(6250*1.2))*$BG$115</f>
        <v>15000</v>
      </c>
      <c r="BS119" s="27">
        <f>BR119</f>
        <v>15000</v>
      </c>
      <c r="BT119" s="27">
        <f>BS119</f>
        <v>15000</v>
      </c>
      <c r="BU119" s="27">
        <f>(BT119+(6250*1.2))*$BG$115</f>
        <v>22500</v>
      </c>
      <c r="BV119" s="27">
        <f>BU119</f>
        <v>22500</v>
      </c>
    </row>
    <row r="120" spans="1:74" s="42" customFormat="1" x14ac:dyDescent="0.4">
      <c r="A120" s="7"/>
      <c r="B120" s="7"/>
      <c r="C120" s="7"/>
      <c r="D120" s="7"/>
      <c r="E120" s="19"/>
      <c r="F120" s="19"/>
      <c r="G120" s="19"/>
      <c r="H120" s="19"/>
      <c r="I120" s="19"/>
      <c r="J120" s="19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/>
      <c r="AL120" s="7"/>
      <c r="AM120" s="7"/>
      <c r="AN120" s="7"/>
      <c r="AO120" s="7"/>
      <c r="AP120" s="7"/>
      <c r="AQ120"/>
      <c r="AR120" s="7"/>
      <c r="AS120" s="7"/>
      <c r="AT120" s="7"/>
      <c r="AU120" s="7"/>
      <c r="AV120" s="7"/>
      <c r="AW120"/>
      <c r="AX120" s="7"/>
      <c r="AY120" s="7"/>
      <c r="AZ120" s="7"/>
      <c r="BA120" s="7"/>
      <c r="BB120" s="7"/>
      <c r="BC120" s="7"/>
      <c r="BD120"/>
      <c r="BE120" s="7"/>
      <c r="BF120" s="7"/>
      <c r="BG120" s="7"/>
      <c r="BH120" s="7"/>
      <c r="BI120" s="27"/>
      <c r="BK120" s="27"/>
      <c r="BL120" s="27"/>
      <c r="BM120" s="27"/>
      <c r="BN120" s="27"/>
      <c r="BO120" s="27"/>
      <c r="BP120" s="27"/>
      <c r="BQ120" s="236"/>
      <c r="BR120" s="236"/>
      <c r="BS120" s="236"/>
      <c r="BT120" s="236"/>
      <c r="BU120" s="236"/>
      <c r="BV120" s="236"/>
    </row>
    <row r="121" spans="1:74" s="42" customFormat="1" ht="13.3" x14ac:dyDescent="0.3">
      <c r="A121" s="7"/>
      <c r="B121" s="182" t="s">
        <v>74</v>
      </c>
      <c r="C121" s="182"/>
      <c r="D121" s="182"/>
      <c r="E121" s="183"/>
      <c r="F121" s="183"/>
      <c r="G121" s="183"/>
      <c r="H121" s="183"/>
      <c r="I121" s="183"/>
      <c r="J121" s="183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4">
        <f>AB84+AB117+AB102</f>
        <v>438721.45999999973</v>
      </c>
      <c r="AC121" s="184"/>
      <c r="AD121" s="182"/>
      <c r="AE121" s="184">
        <f>AE84+SUM($AB$117:AE117)+AE102</f>
        <v>348343.86999999965</v>
      </c>
      <c r="AF121" s="184">
        <f>AF84+SUM($AB$117:AF117)+AF102</f>
        <v>177095.84999999963</v>
      </c>
      <c r="AG121" s="184">
        <f>AG84+SUM($AB$117:AG117)+AG102</f>
        <v>219293.52999999956</v>
      </c>
      <c r="AH121" s="184">
        <f>AH84+SUM($AB$117:AH117)+AH102</f>
        <v>238730.77999999956</v>
      </c>
      <c r="AI121" s="184">
        <f>AI84+SUM($AB$117:AI117)+AI102</f>
        <v>216235.72999999975</v>
      </c>
      <c r="AJ121" s="182"/>
      <c r="AK121" s="184"/>
      <c r="AL121" s="184">
        <f>AL84+SUM($AB$117:AL117)+AL102</f>
        <v>1642639.5452000001</v>
      </c>
      <c r="AM121" s="184">
        <f>AM84+SUM($AB$117:AM117)+AM102</f>
        <v>1525474.8539999998</v>
      </c>
      <c r="AN121" s="184">
        <f>AN84+SUM($AB$117:AN117)+AN102</f>
        <v>1640382.784</v>
      </c>
      <c r="AO121" s="184">
        <f>AO84+SUM($AB$117:AO117)+AO102</f>
        <v>1636545.534</v>
      </c>
      <c r="AP121" s="184"/>
      <c r="AQ121" s="184"/>
      <c r="AR121" s="184">
        <f>AR84+SUM($AB$117:AR117)+AR102</f>
        <v>1605378.6039999998</v>
      </c>
      <c r="AS121" s="184">
        <f>AS84+SUM($AB$117:AS117)+AS102</f>
        <v>1494289.7804</v>
      </c>
      <c r="AT121" s="184">
        <f>AT84+SUM($AB$117:AT117)+AT102</f>
        <v>1621201.7804</v>
      </c>
      <c r="AU121" s="184">
        <f>AU84+SUM($AB$117:AU117)+AU102</f>
        <v>1580246.3503999999</v>
      </c>
      <c r="AV121" s="184"/>
      <c r="AW121" s="184"/>
      <c r="AX121" s="184">
        <f>AX84+SUM($AB$117:AX117)+AX102</f>
        <v>1575246.3503999999</v>
      </c>
      <c r="AY121" s="184">
        <f>AY84+SUM($AB$117:AY117)+AY102</f>
        <v>1556426.9103999999</v>
      </c>
      <c r="AZ121" s="184">
        <f>AZ84+SUM($AB$117:AZ117)+AZ102</f>
        <v>1473687.2267999998</v>
      </c>
      <c r="BA121" s="184">
        <f>BA84+SUM($AB$117:BA117)+BA102</f>
        <v>1457187.2267999998</v>
      </c>
      <c r="BB121" s="184">
        <f>BB84+SUM($AB$117:BB117)+BB102</f>
        <v>1429231.7967999999</v>
      </c>
      <c r="BC121" s="184"/>
      <c r="BD121" s="184"/>
      <c r="BE121" s="184">
        <f>BE84+SUM($AB$117:BE117)+BE102</f>
        <v>1435412.3568</v>
      </c>
      <c r="BF121" s="184">
        <f>BF84+SUM($AB$117:BF117)+BF102</f>
        <v>1300054.6768</v>
      </c>
      <c r="BG121" s="184">
        <f>BG84+SUM($AB$117:BG117)+BG102</f>
        <v>1251262.0367999999</v>
      </c>
      <c r="BH121" s="184">
        <f>BH84+SUM($AB$117:BH117)+BH102</f>
        <v>1356806.6068</v>
      </c>
      <c r="BI121" s="184"/>
      <c r="BJ121" s="184"/>
      <c r="BK121" s="184">
        <f>BK84+SUM($AB$117:BK117)-BK119+BK102</f>
        <v>1200342.3267999999</v>
      </c>
      <c r="BL121" s="184">
        <f>BL84+SUM($AB$117:BL117)-SUM($BK$119:BL119)+BL102</f>
        <v>881323.19129999983</v>
      </c>
      <c r="BM121" s="184">
        <f>BM84+SUM($AB$117:BM117)-SUM($BK$119:BM119)+BM102</f>
        <v>678063.42909999983</v>
      </c>
      <c r="BN121" s="184">
        <f>BN84+SUM($AB$117:BN117)-SUM($BK$119:BN119)+BN102</f>
        <v>528169.84189999988</v>
      </c>
      <c r="BO121" s="184">
        <f>BO84+SUM($AB$117:BO117)-SUM($BK$119:BO119)+BO102</f>
        <v>392988.75469999987</v>
      </c>
      <c r="BP121" s="184">
        <f>BP84+SUM($AB$117:BP117)-SUM($BK$119:BP119)+BP102</f>
        <v>226295.16749999986</v>
      </c>
      <c r="BQ121" s="184">
        <f>BQ84+SUM($AB$117:BQ117)-SUM($BK$119:BQ119)+BQ102+BQ120</f>
        <v>363443.46729999984</v>
      </c>
      <c r="BR121" s="184">
        <f>BR84+SUM($AB$117:BR117)-SUM($BK$119:BR119)+BR102+SUM($BQ$120:BR120)</f>
        <v>414994.37659999984</v>
      </c>
      <c r="BS121" s="184">
        <f>BS84+SUM($AB$117:BS117)-SUM($BK$119:BS119)+BS102+SUM($BQ$120:BS120)</f>
        <v>371645.28589999978</v>
      </c>
      <c r="BT121" s="184">
        <f>BT84+SUM($AB$117:BT117)-SUM($BK$119:BT119)+BT102+SUM($BQ$120:BT120)</f>
        <v>561296.19519999973</v>
      </c>
      <c r="BU121" s="184">
        <f>BU84+SUM($AB$117:BU117)-SUM($BK$119:BU119)+BU102+SUM($BQ$120:BU120)</f>
        <v>383172.10449999978</v>
      </c>
      <c r="BV121" s="184">
        <f>BV84+SUM($AB$117:BV117)-SUM($BK$119:BV119)+BV102+SUM($BQ$120:BV120)</f>
        <v>127073.01379999961</v>
      </c>
    </row>
    <row r="122" spans="1:74" s="42" customFormat="1" x14ac:dyDescent="0.4">
      <c r="A122" s="7"/>
      <c r="B122" s="7"/>
      <c r="C122" s="7"/>
      <c r="D122" s="33"/>
      <c r="E122" s="19"/>
      <c r="F122" s="19"/>
      <c r="G122" s="19"/>
      <c r="H122" s="19"/>
      <c r="I122" s="19"/>
      <c r="J122" s="19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/>
      <c r="AL122" s="7"/>
      <c r="AM122" s="7"/>
      <c r="AN122" s="7"/>
      <c r="AO122" s="7"/>
      <c r="AP122" s="7"/>
      <c r="AQ122"/>
      <c r="AR122" s="7"/>
      <c r="AS122" s="7"/>
      <c r="AT122" s="7"/>
      <c r="AU122" s="7"/>
      <c r="AV122" s="7"/>
      <c r="AW122"/>
      <c r="AX122" s="7"/>
      <c r="AY122" s="7"/>
      <c r="AZ122" s="7"/>
      <c r="BA122" s="7"/>
      <c r="BB122" s="7"/>
      <c r="BC122" s="7"/>
      <c r="BD122"/>
      <c r="BE122" s="7"/>
      <c r="BF122" s="7"/>
      <c r="BG122" s="7"/>
      <c r="BH122" s="7"/>
      <c r="BI122" s="7"/>
      <c r="BK122" s="7"/>
      <c r="BL122" s="7"/>
      <c r="BM122" s="30"/>
      <c r="BN122" s="30"/>
      <c r="BO122" s="30"/>
      <c r="BP122" s="30"/>
      <c r="BQ122" s="30"/>
      <c r="BR122" s="30"/>
      <c r="BS122" s="30"/>
      <c r="BT122" s="30"/>
      <c r="BU122" s="7"/>
      <c r="BV122" s="30"/>
    </row>
    <row r="123" spans="1:74" s="185" customFormat="1" x14ac:dyDescent="0.4">
      <c r="A123" s="166"/>
      <c r="B123" s="166"/>
      <c r="C123" s="186"/>
      <c r="D123" s="186"/>
      <c r="E123" s="187"/>
      <c r="F123" s="187"/>
      <c r="G123" s="187"/>
      <c r="H123" s="187"/>
      <c r="I123" s="186"/>
      <c r="J123" s="187"/>
      <c r="K123" s="166"/>
      <c r="L123" s="166"/>
      <c r="M123" s="166"/>
      <c r="N123" s="186"/>
      <c r="O123" s="166"/>
      <c r="P123" s="166"/>
      <c r="Q123" s="166"/>
      <c r="R123" s="166"/>
      <c r="S123" s="186"/>
      <c r="T123" s="186"/>
      <c r="U123" s="166"/>
      <c r="V123" s="166"/>
      <c r="W123" s="166"/>
      <c r="X123" s="186"/>
      <c r="Y123" s="186"/>
      <c r="Z123" s="166"/>
      <c r="AA123" s="166"/>
      <c r="AB123" s="166"/>
      <c r="AC123" s="186"/>
      <c r="AD123" s="186"/>
      <c r="AE123" s="186"/>
      <c r="AF123" s="186"/>
      <c r="AG123" s="186"/>
      <c r="AH123" s="186"/>
      <c r="AI123" s="186"/>
      <c r="AJ123" s="186"/>
      <c r="AK123" s="188"/>
      <c r="AL123" s="186"/>
      <c r="AM123" s="186"/>
      <c r="AN123" s="186"/>
      <c r="AO123" s="186"/>
      <c r="AP123" s="186"/>
      <c r="AQ123" s="188"/>
      <c r="AR123" s="186"/>
      <c r="AS123" s="186"/>
      <c r="AT123" s="186"/>
      <c r="AU123" s="186"/>
      <c r="AV123" s="186"/>
      <c r="AW123" s="188"/>
      <c r="AX123" s="186"/>
      <c r="AY123" s="186"/>
      <c r="AZ123" s="186"/>
      <c r="BA123" s="186"/>
      <c r="BB123" s="186"/>
      <c r="BC123" s="186"/>
      <c r="BD123" s="188"/>
      <c r="BE123" s="186"/>
      <c r="BF123" s="186"/>
      <c r="BG123" s="186"/>
      <c r="BH123" s="186"/>
      <c r="BI123" s="186"/>
      <c r="BK123" s="186"/>
      <c r="BL123" s="186"/>
      <c r="BM123" s="186"/>
      <c r="BN123" s="186"/>
      <c r="BO123" s="186"/>
      <c r="BP123" s="186"/>
      <c r="BQ123" s="186"/>
      <c r="BR123" s="186"/>
      <c r="BS123" s="186"/>
      <c r="BT123" s="186"/>
      <c r="BU123" s="186"/>
      <c r="BV123" s="186"/>
    </row>
    <row r="124" spans="1:74" s="42" customFormat="1" x14ac:dyDescent="0.4">
      <c r="A124" s="7"/>
      <c r="B124" s="7"/>
      <c r="C124" s="7"/>
      <c r="D124" s="33"/>
      <c r="E124" s="19"/>
      <c r="F124" s="19"/>
      <c r="G124" s="19"/>
      <c r="H124" s="19"/>
      <c r="I124" s="19"/>
      <c r="J124" s="19"/>
      <c r="K124" s="7"/>
      <c r="L124" s="7"/>
      <c r="M124" s="7"/>
      <c r="N124" s="7"/>
      <c r="O124" s="7"/>
      <c r="P124" s="7"/>
      <c r="Q124" s="7"/>
      <c r="R124" s="7"/>
      <c r="S124" s="14"/>
      <c r="T124" s="14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/>
      <c r="AL124" s="7"/>
      <c r="AM124" s="7"/>
      <c r="AN124" s="7"/>
      <c r="AO124" s="7"/>
      <c r="AP124" s="7"/>
      <c r="AQ124"/>
      <c r="AR124" s="7"/>
      <c r="AS124" s="7"/>
      <c r="AT124" s="7"/>
      <c r="AU124" s="7"/>
      <c r="AV124" s="7"/>
      <c r="AW124"/>
      <c r="AX124" s="7"/>
      <c r="AY124" s="7"/>
      <c r="AZ124" s="7"/>
      <c r="BA124" s="7"/>
      <c r="BB124" s="7"/>
      <c r="BC124" s="7"/>
      <c r="BD124"/>
      <c r="BE124" s="7"/>
      <c r="BF124" s="7"/>
      <c r="BG124" s="7"/>
      <c r="BH124" s="166"/>
      <c r="BI124" s="7"/>
      <c r="BK124" s="166"/>
      <c r="BL124" s="189"/>
      <c r="BM124" s="7"/>
      <c r="BP124" s="60"/>
    </row>
    <row r="125" spans="1:74" s="42" customFormat="1" x14ac:dyDescent="0.4">
      <c r="A125" s="7"/>
      <c r="B125" s="7"/>
      <c r="C125" s="7"/>
      <c r="D125" s="33"/>
      <c r="E125" s="19"/>
      <c r="F125" s="19"/>
      <c r="G125" s="19"/>
      <c r="H125" s="19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/>
      <c r="AL125" s="7"/>
      <c r="AM125" s="7"/>
      <c r="AN125" s="7"/>
      <c r="AO125" s="7"/>
      <c r="AP125" s="7"/>
      <c r="AQ125"/>
      <c r="AR125" s="7"/>
      <c r="AS125" s="7"/>
      <c r="AT125" s="7"/>
      <c r="AU125" s="7"/>
      <c r="AV125" s="7"/>
      <c r="AW125"/>
      <c r="AX125" s="7"/>
      <c r="AY125" s="7"/>
      <c r="AZ125" s="7"/>
      <c r="BA125" s="7"/>
      <c r="BB125" s="7"/>
      <c r="BC125" s="7"/>
      <c r="BD125"/>
      <c r="BE125" s="7"/>
      <c r="BF125" s="7"/>
      <c r="BG125" s="7"/>
      <c r="BH125" s="258"/>
      <c r="BI125" s="7"/>
      <c r="BK125" s="166"/>
      <c r="BL125" s="7"/>
      <c r="BM125" s="7"/>
    </row>
    <row r="126" spans="1:74" s="42" customFormat="1" x14ac:dyDescent="0.4">
      <c r="A126" s="7"/>
      <c r="B126" s="2" t="s">
        <v>128</v>
      </c>
      <c r="C126" s="7"/>
      <c r="D126" s="33"/>
      <c r="E126" s="19"/>
      <c r="F126" s="19"/>
      <c r="G126" s="19"/>
      <c r="H126" s="19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/>
      <c r="AL126" s="7"/>
      <c r="AM126" s="7"/>
      <c r="AN126" s="7"/>
      <c r="AO126" s="7"/>
      <c r="AP126" s="7"/>
      <c r="AQ126"/>
      <c r="AR126" s="7"/>
      <c r="AS126" s="7"/>
      <c r="AT126" s="7"/>
      <c r="AU126" s="7"/>
      <c r="AV126" s="7"/>
      <c r="AW126"/>
      <c r="AX126" s="7"/>
      <c r="AY126" s="7"/>
      <c r="AZ126" s="7"/>
      <c r="BA126" s="7"/>
      <c r="BB126" s="7"/>
      <c r="BC126" s="7"/>
      <c r="BD126"/>
      <c r="BE126" s="7"/>
      <c r="BF126" s="7"/>
      <c r="BG126" s="7"/>
      <c r="BH126" s="166"/>
      <c r="BI126" s="7"/>
      <c r="BK126" s="166"/>
      <c r="BL126" s="7"/>
      <c r="BM126" s="7"/>
    </row>
    <row r="127" spans="1:74" s="42" customFormat="1" x14ac:dyDescent="0.4">
      <c r="A127" s="7"/>
      <c r="B127" s="7"/>
      <c r="C127" s="7"/>
      <c r="D127" s="7"/>
      <c r="E127" s="19"/>
      <c r="F127" s="19"/>
      <c r="G127" s="19"/>
      <c r="H127" s="19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/>
      <c r="AL127" s="7"/>
      <c r="AM127" s="7"/>
      <c r="AN127" s="7"/>
      <c r="AO127" s="7"/>
      <c r="AP127" s="7"/>
      <c r="AQ127"/>
      <c r="AR127" s="7"/>
      <c r="AS127" s="7"/>
      <c r="AT127" s="7"/>
      <c r="AU127" s="7"/>
      <c r="AV127" s="7"/>
      <c r="AW127"/>
      <c r="AX127" s="7"/>
      <c r="AY127" s="7"/>
      <c r="AZ127" s="7"/>
      <c r="BA127" s="7"/>
      <c r="BF127" s="7"/>
      <c r="BG127" s="7"/>
      <c r="BH127" s="166"/>
      <c r="BI127" s="7"/>
      <c r="BK127" s="166"/>
      <c r="BL127" s="7"/>
      <c r="BM127" s="7"/>
    </row>
    <row r="128" spans="1:74" s="42" customFormat="1" x14ac:dyDescent="0.4">
      <c r="A128" s="7"/>
      <c r="B128" s="7"/>
      <c r="C128" s="7"/>
      <c r="D128" s="7"/>
      <c r="E128" s="19"/>
      <c r="F128" s="19"/>
      <c r="G128" s="19"/>
      <c r="H128" s="19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/>
      <c r="AL128" s="7"/>
      <c r="AM128" s="7"/>
      <c r="AN128" s="7"/>
      <c r="AO128" s="7"/>
      <c r="AP128" s="7"/>
      <c r="AQ128"/>
      <c r="AR128" s="7"/>
      <c r="AS128" s="7"/>
      <c r="AT128" s="7"/>
      <c r="AU128" s="7"/>
      <c r="AV128" s="7"/>
      <c r="AW128"/>
      <c r="AX128" s="7"/>
      <c r="AY128" s="7"/>
      <c r="AZ128" s="7"/>
      <c r="BA128" s="7"/>
      <c r="BB128" s="7"/>
      <c r="BC128" s="7"/>
      <c r="BD128"/>
      <c r="BE128" s="7"/>
      <c r="BF128" s="7"/>
      <c r="BG128" s="7"/>
      <c r="BH128" s="166"/>
      <c r="BI128" s="7"/>
      <c r="BK128" s="7"/>
      <c r="BL128" s="7"/>
      <c r="BM128" s="7"/>
      <c r="BT128" s="33"/>
    </row>
    <row r="129" spans="1:74" s="42" customFormat="1" x14ac:dyDescent="0.4">
      <c r="A129" s="7"/>
      <c r="B129" s="7"/>
      <c r="C129" s="7"/>
      <c r="D129" s="7"/>
      <c r="E129" s="19"/>
      <c r="F129" s="19"/>
      <c r="G129" s="19"/>
      <c r="H129" s="19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/>
      <c r="AL129" s="7"/>
      <c r="AM129" s="7"/>
      <c r="AN129" s="7"/>
      <c r="AO129" s="7"/>
      <c r="AP129" s="7"/>
      <c r="AQ129"/>
      <c r="AR129" s="7"/>
      <c r="AS129" s="7"/>
      <c r="AT129" s="7"/>
      <c r="AU129" s="7"/>
      <c r="AV129" s="7"/>
      <c r="AW129"/>
      <c r="AX129" s="7"/>
      <c r="AY129" s="7"/>
      <c r="AZ129" s="7"/>
      <c r="BA129" s="7"/>
      <c r="BB129" s="7"/>
      <c r="BC129" s="7"/>
      <c r="BD129"/>
      <c r="BE129" s="7"/>
      <c r="BF129" s="7"/>
      <c r="BG129" s="7"/>
      <c r="BH129" s="7"/>
      <c r="BI129" s="7"/>
      <c r="BK129" s="7"/>
      <c r="BL129" s="7"/>
      <c r="BM129" s="7"/>
    </row>
    <row r="130" spans="1:74" s="42" customFormat="1" x14ac:dyDescent="0.4">
      <c r="A130" s="7"/>
      <c r="B130" s="7"/>
      <c r="C130" s="7"/>
      <c r="D130" s="7"/>
      <c r="E130" s="19"/>
      <c r="F130" s="19"/>
      <c r="G130" s="19"/>
      <c r="H130" s="19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275"/>
      <c r="AL130" s="7"/>
      <c r="AM130" s="260"/>
      <c r="AN130" s="7"/>
      <c r="AO130" s="33"/>
      <c r="AP130" s="7"/>
      <c r="AQ130" s="275"/>
      <c r="AR130" s="7"/>
      <c r="AS130" s="7"/>
      <c r="AT130" s="7"/>
      <c r="AU130" s="7"/>
      <c r="AV130" s="7"/>
      <c r="AW130" s="275"/>
      <c r="AX130" s="7"/>
      <c r="AY130" s="7"/>
      <c r="AZ130" s="7"/>
      <c r="BA130" s="7"/>
      <c r="BB130" s="7"/>
      <c r="BC130" s="7"/>
      <c r="BD130" s="275"/>
      <c r="BE130" s="7"/>
      <c r="BF130" s="7"/>
      <c r="BG130" s="14"/>
      <c r="BH130" s="33"/>
      <c r="BI130" s="7"/>
      <c r="BK130" s="7"/>
      <c r="BL130" s="7"/>
      <c r="BM130" s="33"/>
      <c r="BP130" s="33"/>
      <c r="BS130" s="33"/>
      <c r="BV130" s="261"/>
    </row>
    <row r="131" spans="1:74" s="185" customFormat="1" x14ac:dyDescent="0.4">
      <c r="A131" s="166"/>
      <c r="B131" s="166"/>
      <c r="C131" s="166"/>
      <c r="D131" s="166"/>
      <c r="E131" s="187"/>
      <c r="F131" s="187"/>
      <c r="G131" s="187"/>
      <c r="H131" s="187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  <c r="AD131" s="166"/>
      <c r="AE131" s="166"/>
      <c r="AF131" s="166"/>
      <c r="AG131" s="166"/>
      <c r="AH131" s="166"/>
      <c r="AI131" s="166"/>
      <c r="AJ131" s="166"/>
      <c r="AK131" s="188"/>
      <c r="AL131" s="166"/>
      <c r="AM131" s="166"/>
      <c r="AN131" s="166"/>
      <c r="AO131" s="274"/>
      <c r="AP131" s="166"/>
      <c r="AQ131" s="188"/>
      <c r="AR131" s="166"/>
      <c r="AS131" s="166"/>
      <c r="AT131" s="166"/>
      <c r="AU131" s="166"/>
      <c r="AV131" s="166"/>
      <c r="AW131" s="188"/>
      <c r="AX131" s="166"/>
      <c r="AY131" s="166"/>
      <c r="AZ131" s="166"/>
      <c r="BA131" s="166"/>
      <c r="BB131" s="166"/>
      <c r="BC131" s="166"/>
      <c r="BD131" s="188"/>
      <c r="BF131" s="166"/>
      <c r="BG131" s="166"/>
      <c r="BH131" s="274"/>
      <c r="BI131" s="166"/>
      <c r="BK131" s="166"/>
      <c r="BL131" s="166"/>
      <c r="BM131" s="274"/>
      <c r="BP131" s="274"/>
      <c r="BS131" s="274"/>
      <c r="BV131" s="274"/>
    </row>
    <row r="132" spans="1:74" s="185" customFormat="1" x14ac:dyDescent="0.4">
      <c r="A132" s="166"/>
      <c r="B132" s="166"/>
      <c r="C132" s="166"/>
      <c r="D132" s="166"/>
      <c r="E132" s="187"/>
      <c r="F132" s="187"/>
      <c r="G132" s="187"/>
      <c r="H132" s="187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  <c r="Y132" s="166"/>
      <c r="Z132" s="166"/>
      <c r="AA132" s="166"/>
      <c r="AB132" s="166"/>
      <c r="AC132" s="166"/>
      <c r="AD132" s="166"/>
      <c r="AE132" s="166"/>
      <c r="AF132" s="166"/>
      <c r="AG132" s="166"/>
      <c r="AH132" s="166"/>
      <c r="AI132" s="166"/>
      <c r="AJ132" s="166"/>
      <c r="AK132" s="188"/>
      <c r="AL132" s="166"/>
      <c r="AM132" s="166"/>
      <c r="AN132" s="166"/>
      <c r="AO132" s="274"/>
      <c r="AP132" s="166"/>
      <c r="AQ132" s="188"/>
      <c r="AR132" s="166"/>
      <c r="AS132" s="166"/>
      <c r="AT132" s="166"/>
      <c r="AU132" s="166"/>
      <c r="AV132" s="166"/>
      <c r="AW132" s="188"/>
      <c r="AX132" s="166"/>
      <c r="AY132" s="166"/>
      <c r="AZ132" s="166"/>
      <c r="BA132" s="166"/>
      <c r="BB132" s="166"/>
      <c r="BC132" s="166"/>
      <c r="BD132" s="188"/>
      <c r="BE132" s="7"/>
      <c r="BF132" s="166"/>
      <c r="BG132" s="166"/>
      <c r="BH132" s="274"/>
      <c r="BI132" s="166"/>
      <c r="BK132" s="166"/>
      <c r="BL132" s="166"/>
      <c r="BM132" s="274"/>
      <c r="BP132" s="274"/>
      <c r="BS132" s="274"/>
      <c r="BV132" s="274"/>
    </row>
    <row r="133" spans="1:74" s="42" customFormat="1" x14ac:dyDescent="0.4">
      <c r="A133" s="7"/>
      <c r="B133" s="7"/>
      <c r="C133" s="7"/>
      <c r="D133" s="7"/>
      <c r="E133" s="19"/>
      <c r="F133" s="19"/>
      <c r="G133" s="19"/>
      <c r="H133" s="19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/>
      <c r="AL133" s="7"/>
      <c r="AM133" s="7"/>
      <c r="AN133" s="7"/>
      <c r="AO133" s="7"/>
      <c r="AP133" s="7"/>
      <c r="AQ133"/>
      <c r="AR133" s="7"/>
      <c r="AS133" s="7"/>
      <c r="AT133" s="7"/>
      <c r="AU133" s="7"/>
      <c r="AV133" s="7"/>
      <c r="AW133"/>
      <c r="AX133" s="7"/>
      <c r="AY133" s="7"/>
      <c r="AZ133" s="7"/>
      <c r="BA133" s="7"/>
      <c r="BB133" s="7"/>
      <c r="BC133" s="7"/>
      <c r="BD133"/>
      <c r="BE133" s="7"/>
      <c r="BF133" s="7"/>
      <c r="BG133" s="14"/>
      <c r="BH133" s="270"/>
      <c r="BI133" s="7"/>
      <c r="BK133" s="7"/>
      <c r="BL133" s="7"/>
      <c r="BM133" s="7"/>
      <c r="BO133" s="271"/>
      <c r="BP133" s="272"/>
      <c r="BR133" s="273"/>
      <c r="BS133" s="272"/>
      <c r="BV133" s="262"/>
    </row>
    <row r="134" spans="1:74" s="42" customFormat="1" x14ac:dyDescent="0.4">
      <c r="A134" s="7"/>
      <c r="B134" s="7"/>
      <c r="C134" s="7"/>
      <c r="D134" s="7"/>
      <c r="E134" s="19"/>
      <c r="F134" s="19"/>
      <c r="G134" s="19"/>
      <c r="H134" s="19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/>
      <c r="AL134" s="7"/>
      <c r="AM134" s="7"/>
      <c r="AN134" s="14"/>
      <c r="AO134" s="33"/>
      <c r="AP134" s="7"/>
      <c r="AQ134"/>
      <c r="AR134" s="7"/>
      <c r="AS134" s="7"/>
      <c r="AT134" s="7"/>
      <c r="AU134" s="7"/>
      <c r="AV134" s="7"/>
      <c r="AW134"/>
      <c r="AX134" s="7"/>
      <c r="AY134" s="7"/>
      <c r="AZ134" s="7"/>
      <c r="BA134" s="7"/>
      <c r="BB134" s="7"/>
      <c r="BC134" s="7"/>
      <c r="BD134"/>
      <c r="BE134" s="7"/>
      <c r="BF134" s="7"/>
      <c r="BG134" s="265"/>
      <c r="BH134" s="59"/>
      <c r="BI134" s="7"/>
      <c r="BK134" s="7"/>
      <c r="BL134" s="7"/>
      <c r="BM134" s="7"/>
      <c r="BO134" s="271"/>
      <c r="BP134" s="272"/>
    </row>
    <row r="135" spans="1:74" s="42" customFormat="1" x14ac:dyDescent="0.4">
      <c r="A135" s="7"/>
      <c r="B135" s="7"/>
      <c r="C135" s="7"/>
      <c r="D135" s="7"/>
      <c r="E135" s="19"/>
      <c r="F135" s="19"/>
      <c r="G135" s="19"/>
      <c r="H135" s="19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/>
      <c r="AL135" s="7"/>
      <c r="AM135" s="7"/>
      <c r="AN135" s="14"/>
      <c r="AO135" s="33"/>
      <c r="AP135" s="7"/>
      <c r="AQ135"/>
      <c r="AR135" s="7"/>
      <c r="AS135" s="7"/>
      <c r="AT135" s="7"/>
      <c r="AU135" s="7"/>
      <c r="AV135" s="7"/>
      <c r="AW135"/>
      <c r="AX135" s="7"/>
      <c r="AY135" s="7"/>
      <c r="AZ135" s="7"/>
      <c r="BA135" s="7"/>
      <c r="BB135" s="7"/>
      <c r="BC135" s="7"/>
      <c r="BD135"/>
      <c r="BE135" s="7"/>
      <c r="BF135" s="7"/>
      <c r="BG135" s="271"/>
      <c r="BH135" s="262"/>
      <c r="BI135" s="7"/>
      <c r="BK135" s="7"/>
      <c r="BL135" s="7"/>
      <c r="BM135" s="33"/>
      <c r="BP135" s="262"/>
      <c r="BS135" s="262"/>
      <c r="BV135" s="262"/>
    </row>
    <row r="136" spans="1:74" s="42" customFormat="1" x14ac:dyDescent="0.4">
      <c r="A136" s="7"/>
      <c r="B136" s="7"/>
      <c r="C136" s="7"/>
      <c r="D136" s="7"/>
      <c r="E136" s="19"/>
      <c r="F136" s="19"/>
      <c r="G136" s="19"/>
      <c r="H136" s="19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/>
      <c r="AL136" s="7"/>
      <c r="AM136" s="7"/>
      <c r="AN136" s="14"/>
      <c r="AO136" s="33"/>
      <c r="AP136" s="7"/>
      <c r="AQ136"/>
      <c r="AR136" s="7"/>
      <c r="AS136" s="7"/>
      <c r="AT136" s="7"/>
      <c r="AU136" s="7"/>
      <c r="AV136" s="7"/>
      <c r="AW136"/>
      <c r="AX136" s="7"/>
      <c r="AY136" s="7"/>
      <c r="AZ136" s="7"/>
      <c r="BA136" s="7"/>
      <c r="BB136" s="7"/>
      <c r="BC136" s="7"/>
      <c r="BD136"/>
      <c r="BE136" s="7"/>
      <c r="BF136" s="7"/>
      <c r="BG136" s="271"/>
      <c r="BH136" s="262"/>
      <c r="BI136" s="7"/>
      <c r="BK136" s="7"/>
      <c r="BL136" s="14"/>
      <c r="BM136" s="33"/>
      <c r="BP136" s="262"/>
      <c r="BS136" s="262"/>
      <c r="BV136" s="262"/>
    </row>
    <row r="137" spans="1:74" s="42" customFormat="1" x14ac:dyDescent="0.4">
      <c r="A137" s="7"/>
      <c r="B137" s="7"/>
      <c r="C137" s="7"/>
      <c r="D137" s="7"/>
      <c r="E137" s="19"/>
      <c r="F137" s="19"/>
      <c r="G137" s="19"/>
      <c r="H137" s="19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/>
      <c r="AL137" s="7"/>
      <c r="AM137" s="7"/>
      <c r="AN137" s="14"/>
      <c r="AO137" s="33"/>
      <c r="AP137" s="7"/>
      <c r="AQ137"/>
      <c r="AR137" s="7"/>
      <c r="AS137" s="7"/>
      <c r="AT137" s="7"/>
      <c r="AU137" s="7"/>
      <c r="AV137" s="7"/>
      <c r="AW137"/>
      <c r="AX137" s="7"/>
      <c r="AY137" s="7"/>
      <c r="AZ137" s="7"/>
      <c r="BA137" s="7"/>
      <c r="BB137" s="7"/>
      <c r="BC137" s="7"/>
      <c r="BD137"/>
      <c r="BE137" s="7"/>
      <c r="BF137" s="7"/>
      <c r="BG137" s="271"/>
      <c r="BH137" s="262"/>
      <c r="BI137" s="7"/>
      <c r="BK137" s="7"/>
      <c r="BL137" s="7"/>
      <c r="BM137" s="33"/>
      <c r="BP137" s="262"/>
      <c r="BS137" s="262"/>
      <c r="BV137" s="262"/>
    </row>
    <row r="138" spans="1:74" s="42" customFormat="1" x14ac:dyDescent="0.4">
      <c r="A138" s="7"/>
      <c r="B138" s="7"/>
      <c r="C138" s="7"/>
      <c r="D138" s="7"/>
      <c r="E138" s="19"/>
      <c r="F138" s="19"/>
      <c r="G138" s="19"/>
      <c r="H138" s="19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/>
      <c r="AL138" s="7"/>
      <c r="AM138" s="7"/>
      <c r="AN138" s="7"/>
      <c r="AO138" s="7"/>
      <c r="AP138" s="7"/>
      <c r="AQ138"/>
      <c r="AR138" s="7"/>
      <c r="AS138" s="7"/>
      <c r="AT138" s="7"/>
      <c r="AU138" s="7"/>
      <c r="AV138" s="7"/>
      <c r="AW138"/>
      <c r="AX138" s="7"/>
      <c r="AY138" s="7"/>
      <c r="AZ138" s="7"/>
      <c r="BA138" s="7"/>
      <c r="BB138" s="7"/>
      <c r="BC138" s="7"/>
      <c r="BD138"/>
      <c r="BE138" s="7"/>
      <c r="BF138" s="7"/>
      <c r="BG138" s="7"/>
      <c r="BH138" s="33"/>
      <c r="BI138" s="7"/>
      <c r="BK138" s="7"/>
      <c r="BL138" s="7"/>
      <c r="BM138" s="33"/>
      <c r="BP138" s="262"/>
      <c r="BS138" s="262"/>
      <c r="BV138" s="262"/>
    </row>
    <row r="139" spans="1:74" s="185" customFormat="1" x14ac:dyDescent="0.4">
      <c r="A139" s="166"/>
      <c r="B139" s="166"/>
      <c r="C139" s="166"/>
      <c r="D139" s="166"/>
      <c r="E139" s="187"/>
      <c r="F139" s="187"/>
      <c r="G139" s="187"/>
      <c r="H139" s="187"/>
      <c r="I139" s="166"/>
      <c r="J139" s="166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  <c r="V139" s="166"/>
      <c r="W139" s="166"/>
      <c r="X139" s="166"/>
      <c r="Y139" s="166"/>
      <c r="Z139" s="166"/>
      <c r="AA139" s="166"/>
      <c r="AB139" s="166"/>
      <c r="AC139" s="166"/>
      <c r="AD139" s="166"/>
      <c r="AE139" s="166"/>
      <c r="AF139" s="166"/>
      <c r="AG139" s="166"/>
      <c r="AH139" s="166"/>
      <c r="AI139" s="166"/>
      <c r="AJ139" s="166"/>
      <c r="AK139" s="188"/>
      <c r="AL139" s="166"/>
      <c r="AM139" s="166"/>
      <c r="AN139" s="166"/>
      <c r="AO139" s="274"/>
      <c r="AP139" s="166"/>
      <c r="AQ139" s="188"/>
      <c r="AR139" s="166"/>
      <c r="AS139" s="166"/>
      <c r="AT139" s="166"/>
      <c r="AU139" s="166"/>
      <c r="AV139" s="166"/>
      <c r="AW139" s="188"/>
      <c r="AX139" s="166"/>
      <c r="AY139" s="166"/>
      <c r="AZ139" s="166"/>
      <c r="BA139" s="166"/>
      <c r="BB139" s="166"/>
      <c r="BC139" s="166"/>
      <c r="BD139" s="188"/>
      <c r="BE139" s="166"/>
      <c r="BF139" s="166"/>
      <c r="BG139" s="166"/>
      <c r="BH139" s="274"/>
      <c r="BI139" s="166"/>
      <c r="BK139" s="166"/>
      <c r="BL139" s="166"/>
      <c r="BM139" s="274"/>
      <c r="BP139" s="276"/>
      <c r="BS139" s="276"/>
      <c r="BV139" s="276"/>
    </row>
    <row r="140" spans="1:74" s="42" customFormat="1" x14ac:dyDescent="0.4">
      <c r="A140" s="7"/>
      <c r="B140" s="7"/>
      <c r="C140" s="7"/>
      <c r="D140" s="7"/>
      <c r="E140" s="19"/>
      <c r="F140" s="19"/>
      <c r="G140" s="19"/>
      <c r="H140" s="19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/>
      <c r="AL140" s="7"/>
      <c r="AM140" s="7"/>
      <c r="AN140" s="7"/>
      <c r="AO140" s="7"/>
      <c r="AP140" s="7"/>
      <c r="AQ140"/>
      <c r="AR140" s="7"/>
      <c r="AS140" s="7"/>
      <c r="AT140" s="7"/>
      <c r="AU140" s="7"/>
      <c r="AV140" s="7"/>
      <c r="AW140"/>
      <c r="AX140" s="7"/>
      <c r="AY140" s="7"/>
      <c r="AZ140" s="7"/>
      <c r="BA140" s="7"/>
      <c r="BB140" s="7"/>
      <c r="BC140" s="7"/>
      <c r="BD140"/>
      <c r="BE140" s="7"/>
      <c r="BF140" s="7"/>
      <c r="BG140" s="7"/>
      <c r="BH140" s="7"/>
      <c r="BI140" s="7"/>
      <c r="BK140" s="7"/>
      <c r="BL140" s="7"/>
      <c r="BM140" s="7"/>
    </row>
    <row r="141" spans="1:74" s="42" customFormat="1" x14ac:dyDescent="0.4">
      <c r="A141" s="7"/>
      <c r="B141" s="7"/>
      <c r="C141" s="7"/>
      <c r="D141" s="7"/>
      <c r="E141" s="19"/>
      <c r="F141" s="19"/>
      <c r="G141" s="19"/>
      <c r="H141" s="19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/>
      <c r="AL141" s="7"/>
      <c r="AM141" s="7"/>
      <c r="AN141" s="7"/>
      <c r="AO141" s="7"/>
      <c r="AP141" s="7"/>
      <c r="AQ141"/>
      <c r="AR141" s="7"/>
      <c r="AS141" s="7"/>
      <c r="AT141" s="7"/>
      <c r="AU141" s="7"/>
      <c r="AV141" s="7"/>
      <c r="AW141"/>
      <c r="AX141" s="7"/>
      <c r="AY141" s="7"/>
      <c r="AZ141" s="7"/>
      <c r="BA141" s="7"/>
      <c r="BB141" s="7"/>
      <c r="BC141" s="7"/>
      <c r="BD141"/>
      <c r="BE141" s="7"/>
      <c r="BF141" s="7"/>
      <c r="BG141" s="7"/>
      <c r="BH141" s="7"/>
      <c r="BI141" s="7"/>
      <c r="BK141" s="7"/>
      <c r="BL141" s="7"/>
      <c r="BM141" s="7"/>
    </row>
    <row r="142" spans="1:74" s="42" customFormat="1" x14ac:dyDescent="0.4">
      <c r="A142" s="7"/>
      <c r="B142" s="7"/>
      <c r="C142" s="7"/>
      <c r="D142" s="7"/>
      <c r="E142" s="19"/>
      <c r="F142" s="19"/>
      <c r="G142" s="19"/>
      <c r="H142" s="19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/>
      <c r="AL142" s="7"/>
      <c r="AM142" s="7"/>
      <c r="AN142" s="7"/>
      <c r="AO142" s="7"/>
      <c r="AP142" s="7"/>
      <c r="AQ142"/>
      <c r="AR142" s="7"/>
      <c r="AS142" s="7"/>
      <c r="AT142" s="7"/>
      <c r="AU142" s="7"/>
      <c r="AV142" s="7"/>
      <c r="AW142"/>
      <c r="AX142" s="7"/>
      <c r="AY142" s="7"/>
      <c r="AZ142" s="7"/>
      <c r="BA142" s="7"/>
      <c r="BB142" s="7"/>
      <c r="BC142" s="7"/>
      <c r="BD142"/>
      <c r="BE142" s="7"/>
      <c r="BF142" s="7"/>
      <c r="BG142" s="7"/>
      <c r="BH142" s="7"/>
      <c r="BI142" s="7"/>
      <c r="BK142" s="7"/>
      <c r="BL142" s="7"/>
      <c r="BM142" s="7"/>
    </row>
    <row r="143" spans="1:74" s="42" customFormat="1" x14ac:dyDescent="0.4">
      <c r="A143" s="7"/>
      <c r="B143" s="7"/>
      <c r="C143" s="7"/>
      <c r="D143" s="7"/>
      <c r="E143" s="19"/>
      <c r="F143" s="19"/>
      <c r="G143" s="19"/>
      <c r="H143" s="19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/>
      <c r="AL143" s="7"/>
      <c r="AM143" s="7"/>
      <c r="AN143" s="7"/>
      <c r="AO143" s="7"/>
      <c r="AP143" s="7"/>
      <c r="AQ143"/>
      <c r="AR143" s="7"/>
      <c r="AS143" s="7"/>
      <c r="AT143" s="7"/>
      <c r="AU143" s="7"/>
      <c r="AV143" s="7"/>
      <c r="AW143"/>
      <c r="AX143" s="7"/>
      <c r="AY143" s="7"/>
      <c r="AZ143" s="7"/>
      <c r="BA143" s="7"/>
      <c r="BB143" s="7"/>
      <c r="BC143" s="7"/>
      <c r="BD143"/>
      <c r="BE143" s="7"/>
      <c r="BF143" s="7"/>
      <c r="BG143" s="7"/>
      <c r="BH143" s="7"/>
      <c r="BI143" s="7"/>
      <c r="BK143" s="7"/>
      <c r="BL143" s="7"/>
      <c r="BM143" s="7"/>
    </row>
    <row r="144" spans="1:74" s="42" customFormat="1" x14ac:dyDescent="0.4">
      <c r="A144" s="7"/>
      <c r="B144" s="7"/>
      <c r="C144" s="7"/>
      <c r="D144" s="7"/>
      <c r="E144" s="19"/>
      <c r="F144" s="19"/>
      <c r="G144" s="19"/>
      <c r="H144" s="19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/>
      <c r="AL144" s="7"/>
      <c r="AM144" s="7"/>
      <c r="AN144" s="7"/>
      <c r="AO144" s="7"/>
      <c r="AP144" s="7"/>
      <c r="AQ144"/>
      <c r="AR144" s="7"/>
      <c r="AS144" s="7"/>
      <c r="AT144" s="7"/>
      <c r="AU144" s="7"/>
      <c r="AV144" s="7"/>
      <c r="AW144"/>
      <c r="AX144" s="7"/>
      <c r="AY144" s="7"/>
      <c r="AZ144" s="7"/>
      <c r="BA144" s="7"/>
      <c r="BB144" s="7"/>
      <c r="BC144" s="7"/>
      <c r="BD144"/>
      <c r="BE144" s="7"/>
      <c r="BF144" s="7"/>
      <c r="BG144" s="7"/>
      <c r="BH144" s="7"/>
      <c r="BI144" s="7"/>
      <c r="BK144" s="7"/>
      <c r="BL144" s="7"/>
      <c r="BM144" s="7"/>
    </row>
    <row r="145" spans="1:65" s="42" customFormat="1" x14ac:dyDescent="0.4">
      <c r="A145" s="7"/>
      <c r="B145" s="7"/>
      <c r="C145" s="7"/>
      <c r="D145" s="7"/>
      <c r="E145" s="19"/>
      <c r="F145" s="19"/>
      <c r="G145" s="19"/>
      <c r="H145" s="19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/>
      <c r="AL145" s="7"/>
      <c r="AM145" s="7"/>
      <c r="AN145" s="7"/>
      <c r="AO145" s="7"/>
      <c r="AP145" s="7"/>
      <c r="AQ145"/>
      <c r="AR145" s="7"/>
      <c r="AS145" s="7"/>
      <c r="AT145" s="7"/>
      <c r="AU145" s="7"/>
      <c r="AV145" s="7"/>
      <c r="AW145"/>
      <c r="AX145" s="7"/>
      <c r="AY145" s="7"/>
      <c r="AZ145" s="7"/>
      <c r="BA145" s="7"/>
      <c r="BB145" s="7"/>
      <c r="BC145" s="7"/>
      <c r="BD145"/>
      <c r="BE145" s="7"/>
      <c r="BF145" s="7"/>
      <c r="BG145" s="7"/>
      <c r="BH145" s="7"/>
      <c r="BI145" s="7"/>
      <c r="BK145" s="7"/>
      <c r="BL145" s="7"/>
      <c r="BM145" s="7"/>
    </row>
    <row r="146" spans="1:65" s="42" customFormat="1" x14ac:dyDescent="0.4">
      <c r="A146" s="7"/>
      <c r="B146" s="7"/>
      <c r="C146" s="7"/>
      <c r="D146" s="7"/>
      <c r="E146" s="19"/>
      <c r="F146" s="19"/>
      <c r="G146" s="19"/>
      <c r="H146" s="19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/>
      <c r="AL146" s="7"/>
      <c r="AM146" s="7"/>
      <c r="AN146" s="7"/>
      <c r="AO146" s="7"/>
      <c r="AP146" s="7"/>
      <c r="AQ146"/>
      <c r="AR146" s="7"/>
      <c r="AS146" s="7"/>
      <c r="AT146" s="7"/>
      <c r="AU146" s="7"/>
      <c r="AV146" s="7"/>
      <c r="AW146"/>
      <c r="AX146" s="7"/>
      <c r="AY146" s="7"/>
      <c r="AZ146" s="7"/>
      <c r="BA146" s="7"/>
      <c r="BB146" s="7"/>
      <c r="BC146" s="7"/>
      <c r="BD146"/>
      <c r="BE146" s="7"/>
      <c r="BF146" s="7"/>
      <c r="BG146" s="7"/>
      <c r="BH146" s="7"/>
      <c r="BI146" s="7"/>
      <c r="BK146" s="7"/>
      <c r="BL146" s="7"/>
      <c r="BM146" s="7"/>
    </row>
    <row r="147" spans="1:65" s="42" customFormat="1" x14ac:dyDescent="0.4">
      <c r="A147" s="7"/>
      <c r="B147" s="7"/>
      <c r="C147" s="7"/>
      <c r="D147" s="7"/>
      <c r="E147" s="19"/>
      <c r="F147" s="19"/>
      <c r="G147" s="19"/>
      <c r="H147" s="19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/>
      <c r="AL147" s="7"/>
      <c r="AM147" s="7"/>
      <c r="AN147" s="7"/>
      <c r="AO147" s="7"/>
      <c r="AP147" s="7"/>
      <c r="AQ147"/>
      <c r="AR147" s="7"/>
      <c r="AS147" s="7"/>
      <c r="AT147" s="7"/>
      <c r="AU147" s="7"/>
      <c r="AV147" s="7"/>
      <c r="AW147"/>
      <c r="AX147" s="7"/>
      <c r="AY147" s="7"/>
      <c r="AZ147" s="7"/>
      <c r="BA147" s="7"/>
      <c r="BB147" s="7"/>
      <c r="BC147" s="7"/>
      <c r="BD147"/>
      <c r="BE147" s="7"/>
      <c r="BF147" s="7"/>
      <c r="BG147" s="7"/>
      <c r="BH147" s="7"/>
      <c r="BI147" s="7"/>
      <c r="BK147" s="7"/>
      <c r="BL147" s="7"/>
      <c r="BM147" s="7"/>
    </row>
    <row r="148" spans="1:65" s="42" customFormat="1" x14ac:dyDescent="0.4">
      <c r="A148" s="7"/>
      <c r="B148" s="7"/>
      <c r="C148" s="7"/>
      <c r="D148" s="7"/>
      <c r="E148" s="19"/>
      <c r="F148" s="19"/>
      <c r="G148" s="19"/>
      <c r="H148" s="19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/>
      <c r="AL148" s="7"/>
      <c r="AM148" s="7"/>
      <c r="AN148" s="7"/>
      <c r="AO148" s="7"/>
      <c r="AP148" s="7"/>
      <c r="AQ148"/>
      <c r="AR148" s="7"/>
      <c r="AS148" s="7"/>
      <c r="AT148" s="7"/>
      <c r="AU148" s="7"/>
      <c r="AV148" s="7"/>
      <c r="AW148"/>
      <c r="AX148" s="7"/>
      <c r="AY148" s="7"/>
      <c r="AZ148" s="7"/>
      <c r="BA148" s="7"/>
      <c r="BB148" s="7"/>
      <c r="BC148" s="7"/>
      <c r="BD148"/>
      <c r="BE148" s="7"/>
      <c r="BF148" s="7"/>
      <c r="BG148" s="7"/>
      <c r="BH148" s="7"/>
      <c r="BI148" s="7"/>
      <c r="BK148" s="7"/>
      <c r="BL148" s="7"/>
      <c r="BM148" s="7"/>
    </row>
    <row r="149" spans="1:65" s="42" customFormat="1" x14ac:dyDescent="0.4">
      <c r="A149" s="7"/>
      <c r="B149" s="7"/>
      <c r="C149" s="7"/>
      <c r="D149" s="7"/>
      <c r="E149" s="19"/>
      <c r="F149" s="19"/>
      <c r="G149" s="19"/>
      <c r="H149" s="19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/>
      <c r="AL149" s="7"/>
      <c r="AM149" s="7"/>
      <c r="AN149" s="7"/>
      <c r="AO149" s="7"/>
      <c r="AP149" s="7"/>
      <c r="AQ149"/>
      <c r="AR149" s="7"/>
      <c r="AS149" s="7"/>
      <c r="AT149" s="7"/>
      <c r="AU149" s="7"/>
      <c r="AV149" s="7"/>
      <c r="AW149"/>
      <c r="AX149" s="7"/>
      <c r="AY149" s="7"/>
      <c r="AZ149" s="7"/>
      <c r="BA149" s="7"/>
      <c r="BB149" s="7"/>
      <c r="BC149" s="7"/>
      <c r="BD149"/>
      <c r="BE149" s="7"/>
      <c r="BF149" s="7"/>
      <c r="BG149" s="7"/>
      <c r="BH149" s="7"/>
      <c r="BI149" s="7"/>
      <c r="BK149" s="7"/>
      <c r="BL149" s="7"/>
      <c r="BM149" s="7"/>
    </row>
    <row r="150" spans="1:65" s="42" customFormat="1" x14ac:dyDescent="0.4">
      <c r="A150" s="7"/>
      <c r="B150" s="7"/>
      <c r="C150" s="7"/>
      <c r="D150" s="7"/>
      <c r="E150" s="19"/>
      <c r="F150" s="19"/>
      <c r="G150" s="19"/>
      <c r="H150" s="19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/>
      <c r="AL150" s="7"/>
      <c r="AM150" s="7"/>
      <c r="AN150" s="7"/>
      <c r="AO150" s="7"/>
      <c r="AP150" s="7"/>
      <c r="AQ150"/>
      <c r="AR150" s="7"/>
      <c r="AS150" s="7"/>
      <c r="AT150" s="7"/>
      <c r="AU150" s="7"/>
      <c r="AV150" s="7"/>
      <c r="AW150"/>
      <c r="AX150" s="7"/>
      <c r="AY150" s="7"/>
      <c r="AZ150" s="7"/>
      <c r="BA150" s="7"/>
      <c r="BB150" s="7"/>
      <c r="BC150" s="7"/>
      <c r="BD150"/>
      <c r="BE150" s="7"/>
      <c r="BF150" s="7"/>
      <c r="BG150" s="7"/>
      <c r="BH150" s="7"/>
      <c r="BI150" s="7"/>
      <c r="BK150" s="7"/>
      <c r="BL150" s="7"/>
      <c r="BM150" s="7"/>
    </row>
    <row r="151" spans="1:65" s="42" customFormat="1" x14ac:dyDescent="0.4">
      <c r="A151" s="7"/>
      <c r="B151" s="7"/>
      <c r="C151" s="7"/>
      <c r="D151" s="7"/>
      <c r="E151" s="19"/>
      <c r="F151" s="19"/>
      <c r="G151" s="19"/>
      <c r="H151" s="19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/>
      <c r="AL151" s="7"/>
      <c r="AM151" s="7"/>
      <c r="AN151" s="7"/>
      <c r="AO151" s="7"/>
      <c r="AP151" s="7"/>
      <c r="AQ151"/>
      <c r="AR151" s="7"/>
      <c r="AS151" s="7"/>
      <c r="AT151" s="7"/>
      <c r="AU151" s="7"/>
      <c r="AV151" s="7"/>
      <c r="AW151"/>
      <c r="AX151" s="7"/>
      <c r="AY151" s="7"/>
      <c r="AZ151" s="7"/>
      <c r="BA151" s="7"/>
      <c r="BB151" s="7"/>
      <c r="BC151" s="7"/>
      <c r="BD151"/>
      <c r="BE151" s="7"/>
      <c r="BF151" s="7"/>
      <c r="BG151" s="7"/>
      <c r="BH151" s="7"/>
      <c r="BI151" s="7"/>
      <c r="BK151" s="7"/>
      <c r="BL151" s="7"/>
      <c r="BM151" s="7"/>
    </row>
    <row r="152" spans="1:65" s="42" customFormat="1" x14ac:dyDescent="0.4">
      <c r="A152" s="7"/>
      <c r="B152" s="7"/>
      <c r="C152" s="7"/>
      <c r="D152" s="7"/>
      <c r="E152" s="19"/>
      <c r="F152" s="19"/>
      <c r="G152" s="19"/>
      <c r="H152" s="19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/>
      <c r="AL152" s="7"/>
      <c r="AM152" s="7"/>
      <c r="AN152" s="7"/>
      <c r="AO152" s="7"/>
      <c r="AP152" s="7"/>
      <c r="AQ152"/>
      <c r="AR152" s="7"/>
      <c r="AS152" s="7"/>
      <c r="AT152" s="7"/>
      <c r="AU152" s="7"/>
      <c r="AV152" s="7"/>
      <c r="AW152"/>
      <c r="AX152" s="7"/>
      <c r="AY152" s="7"/>
      <c r="AZ152" s="7"/>
      <c r="BA152" s="7"/>
      <c r="BB152" s="7"/>
      <c r="BC152" s="7"/>
      <c r="BD152"/>
      <c r="BE152" s="7"/>
      <c r="BF152" s="7"/>
      <c r="BG152" s="7"/>
      <c r="BH152" s="7"/>
      <c r="BI152" s="7"/>
      <c r="BK152" s="7"/>
      <c r="BL152" s="7"/>
      <c r="BM152" s="7"/>
    </row>
    <row r="153" spans="1:65" s="42" customFormat="1" x14ac:dyDescent="0.4">
      <c r="A153" s="7"/>
      <c r="B153" s="7"/>
      <c r="C153" s="7"/>
      <c r="D153" s="7"/>
      <c r="E153" s="19"/>
      <c r="F153" s="19"/>
      <c r="G153" s="19"/>
      <c r="H153" s="19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/>
      <c r="AL153" s="7"/>
      <c r="AM153" s="7"/>
      <c r="AN153" s="7"/>
      <c r="AO153" s="7"/>
      <c r="AP153" s="7"/>
      <c r="AQ153"/>
      <c r="AR153" s="7"/>
      <c r="AS153" s="7"/>
      <c r="AT153" s="7"/>
      <c r="AU153" s="7"/>
      <c r="AV153" s="7"/>
      <c r="AW153"/>
      <c r="AX153" s="7"/>
      <c r="AY153" s="7"/>
      <c r="AZ153" s="7"/>
      <c r="BA153" s="7"/>
      <c r="BB153" s="7"/>
      <c r="BC153" s="7"/>
      <c r="BD153"/>
      <c r="BE153" s="7"/>
      <c r="BF153" s="7"/>
      <c r="BG153" s="7"/>
      <c r="BH153" s="7"/>
      <c r="BI153" s="7"/>
      <c r="BK153" s="7"/>
      <c r="BL153" s="7"/>
      <c r="BM153" s="7"/>
    </row>
    <row r="154" spans="1:65" s="42" customFormat="1" x14ac:dyDescent="0.4">
      <c r="A154" s="7"/>
      <c r="B154" s="7"/>
      <c r="C154" s="7"/>
      <c r="D154" s="7"/>
      <c r="E154" s="19"/>
      <c r="F154" s="19"/>
      <c r="G154" s="19"/>
      <c r="H154" s="19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/>
      <c r="AL154" s="7"/>
      <c r="AM154" s="7"/>
      <c r="AN154" s="7"/>
      <c r="AO154" s="7"/>
      <c r="AP154" s="7"/>
      <c r="AQ154"/>
      <c r="AR154" s="7"/>
      <c r="AS154" s="7"/>
      <c r="AT154" s="7"/>
      <c r="AU154" s="7"/>
      <c r="AV154" s="7"/>
      <c r="AW154"/>
      <c r="AX154" s="7"/>
      <c r="AY154" s="7"/>
      <c r="AZ154" s="7"/>
      <c r="BA154" s="7"/>
      <c r="BB154" s="7"/>
      <c r="BC154" s="7"/>
      <c r="BD154"/>
      <c r="BE154" s="7"/>
      <c r="BF154" s="7"/>
      <c r="BG154" s="7"/>
      <c r="BH154" s="7"/>
      <c r="BI154" s="7"/>
      <c r="BK154" s="7"/>
      <c r="BL154" s="7"/>
      <c r="BM154" s="7"/>
    </row>
    <row r="155" spans="1:65" s="42" customFormat="1" x14ac:dyDescent="0.4">
      <c r="A155" s="7"/>
      <c r="B155" s="7"/>
      <c r="C155" s="7"/>
      <c r="D155" s="7"/>
      <c r="E155" s="19"/>
      <c r="F155" s="19"/>
      <c r="G155" s="19"/>
      <c r="H155" s="19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/>
      <c r="AL155" s="7"/>
      <c r="AM155" s="7"/>
      <c r="AN155" s="7"/>
      <c r="AO155" s="7"/>
      <c r="AP155" s="7"/>
      <c r="AQ155"/>
      <c r="AR155" s="7"/>
      <c r="AS155" s="7"/>
      <c r="AT155" s="7"/>
      <c r="AU155" s="7"/>
      <c r="AV155" s="7"/>
      <c r="AW155"/>
      <c r="AX155" s="7"/>
      <c r="AY155" s="7"/>
      <c r="AZ155" s="7"/>
      <c r="BA155" s="7"/>
      <c r="BB155" s="7"/>
      <c r="BC155" s="7"/>
      <c r="BD155"/>
      <c r="BE155" s="7"/>
      <c r="BF155" s="7"/>
      <c r="BG155" s="7"/>
      <c r="BH155" s="7"/>
      <c r="BI155" s="7"/>
      <c r="BK155" s="7"/>
      <c r="BL155" s="7"/>
      <c r="BM155" s="7"/>
    </row>
    <row r="156" spans="1:65" s="42" customForma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/>
      <c r="AL156" s="7"/>
      <c r="AM156" s="7"/>
      <c r="AN156" s="7"/>
      <c r="AO156" s="7"/>
      <c r="AP156" s="7"/>
      <c r="AQ156"/>
      <c r="AR156" s="7"/>
      <c r="AS156" s="7"/>
      <c r="AT156" s="7"/>
      <c r="AU156" s="7"/>
      <c r="AV156" s="7"/>
      <c r="AW156"/>
      <c r="AX156" s="7"/>
      <c r="AY156" s="7"/>
      <c r="AZ156" s="7"/>
      <c r="BA156" s="7"/>
      <c r="BB156" s="7"/>
      <c r="BC156" s="7"/>
      <c r="BD156"/>
      <c r="BE156" s="7"/>
      <c r="BF156" s="7"/>
      <c r="BG156" s="7"/>
      <c r="BH156" s="7"/>
      <c r="BI156" s="7"/>
      <c r="BK156" s="7"/>
      <c r="BL156" s="7"/>
      <c r="BM156" s="7"/>
    </row>
  </sheetData>
  <sortState xmlns:xlrd2="http://schemas.microsoft.com/office/spreadsheetml/2017/richdata2" ref="B17:G24">
    <sortCondition ref="B17:B24"/>
  </sortState>
  <mergeCells count="3">
    <mergeCell ref="BM108:BS108"/>
    <mergeCell ref="BK8:BV8"/>
    <mergeCell ref="C8:BH8"/>
  </mergeCells>
  <printOptions gridLines="1"/>
  <pageMargins left="0.7" right="0.7" top="0.75" bottom="0.75" header="0.3" footer="0.3"/>
  <pageSetup paperSize="5" scale="51" fitToHeight="2" orientation="landscape" r:id="rId1"/>
  <ignoredErrors>
    <ignoredError sqref="J11 J102" formula="1"/>
    <ignoredError sqref="N74:T74 N103:T119 N102:S102 O64:S64 N53:T58 N60:T60 O63:S63 N65:S65 O67:S67 N68:T69 N77:T87 N89:T101 O66:S66 N72:T72 N59:T59 N62:T62 O61:T61 N71:T71 O70:T70 O73:T73 O75:S7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0E194-7C4B-4D3F-93FF-48276282DF19}">
  <dimension ref="B2:J38"/>
  <sheetViews>
    <sheetView zoomScaleNormal="100" workbookViewId="0">
      <pane xSplit="3" ySplit="3" topLeftCell="D4" activePane="bottomRight" state="frozen"/>
      <selection pane="topRight"/>
      <selection pane="bottomLeft"/>
      <selection pane="bottomRight" activeCell="F34" sqref="F34"/>
    </sheetView>
  </sheetViews>
  <sheetFormatPr defaultRowHeight="14.6" x14ac:dyDescent="0.4"/>
  <cols>
    <col min="2" max="2" width="27.84375" bestFit="1" customWidth="1"/>
    <col min="4" max="4" width="20.53515625" bestFit="1" customWidth="1"/>
    <col min="5" max="5" width="14.3828125" bestFit="1" customWidth="1"/>
    <col min="6" max="10" width="11.69140625" bestFit="1" customWidth="1"/>
  </cols>
  <sheetData>
    <row r="2" spans="2:10" x14ac:dyDescent="0.4">
      <c r="E2" s="308" t="s">
        <v>75</v>
      </c>
      <c r="F2" s="308"/>
      <c r="G2" s="308"/>
      <c r="H2" s="308"/>
      <c r="I2" s="308"/>
      <c r="J2" s="308"/>
    </row>
    <row r="3" spans="2:10" x14ac:dyDescent="0.4">
      <c r="B3" s="225" t="s">
        <v>76</v>
      </c>
      <c r="E3" s="224">
        <v>43656</v>
      </c>
      <c r="F3" s="224">
        <v>43687</v>
      </c>
      <c r="G3" s="224">
        <v>43718</v>
      </c>
      <c r="H3" s="224">
        <v>43748</v>
      </c>
      <c r="I3" s="224">
        <v>43779</v>
      </c>
      <c r="J3" s="224">
        <v>43809</v>
      </c>
    </row>
    <row r="5" spans="2:10" x14ac:dyDescent="0.4">
      <c r="B5" t="s">
        <v>77</v>
      </c>
    </row>
    <row r="6" spans="2:10" x14ac:dyDescent="0.4">
      <c r="B6" t="s">
        <v>78</v>
      </c>
      <c r="C6" t="s">
        <v>79</v>
      </c>
      <c r="D6" s="229" t="s">
        <v>80</v>
      </c>
    </row>
    <row r="7" spans="2:10" x14ac:dyDescent="0.4">
      <c r="B7" t="s">
        <v>94</v>
      </c>
      <c r="C7" s="223">
        <v>24</v>
      </c>
      <c r="D7">
        <v>160.56</v>
      </c>
      <c r="E7" s="227">
        <v>3853.44</v>
      </c>
      <c r="F7" s="227">
        <f t="shared" ref="F7" si="0">E7</f>
        <v>3853.44</v>
      </c>
      <c r="G7" s="227">
        <f>F7/2</f>
        <v>1926.72</v>
      </c>
      <c r="H7" s="227"/>
      <c r="I7" s="227"/>
      <c r="J7" s="227"/>
    </row>
    <row r="8" spans="2:10" x14ac:dyDescent="0.4">
      <c r="B8" t="s">
        <v>95</v>
      </c>
      <c r="C8" s="223">
        <v>50</v>
      </c>
      <c r="D8">
        <v>104.5</v>
      </c>
      <c r="E8" s="227">
        <v>5225</v>
      </c>
      <c r="F8" s="227">
        <f t="shared" ref="F8:J8" si="1">E8</f>
        <v>5225</v>
      </c>
      <c r="G8" s="227">
        <f t="shared" si="1"/>
        <v>5225</v>
      </c>
      <c r="H8" s="227">
        <f t="shared" si="1"/>
        <v>5225</v>
      </c>
      <c r="I8" s="227">
        <f t="shared" si="1"/>
        <v>5225</v>
      </c>
      <c r="J8" s="227">
        <f t="shared" si="1"/>
        <v>5225</v>
      </c>
    </row>
    <row r="9" spans="2:10" x14ac:dyDescent="0.4">
      <c r="B9" t="s">
        <v>96</v>
      </c>
      <c r="C9" s="223">
        <v>30</v>
      </c>
      <c r="D9">
        <v>121.75</v>
      </c>
      <c r="E9" s="227">
        <v>3652.5</v>
      </c>
      <c r="F9" s="227">
        <f t="shared" ref="F9:J9" si="2">E9</f>
        <v>3652.5</v>
      </c>
      <c r="G9" s="227">
        <f>32*D9</f>
        <v>3896</v>
      </c>
      <c r="H9" s="227">
        <f t="shared" si="2"/>
        <v>3896</v>
      </c>
      <c r="I9" s="227">
        <f t="shared" si="2"/>
        <v>3896</v>
      </c>
      <c r="J9" s="227">
        <f t="shared" si="2"/>
        <v>3896</v>
      </c>
    </row>
    <row r="10" spans="2:10" x14ac:dyDescent="0.4">
      <c r="B10" t="s">
        <v>97</v>
      </c>
      <c r="C10" s="223">
        <v>62</v>
      </c>
      <c r="D10">
        <v>134</v>
      </c>
      <c r="E10" s="227">
        <v>8308</v>
      </c>
      <c r="F10" s="227">
        <f t="shared" ref="F10:J10" si="3">E10</f>
        <v>8308</v>
      </c>
      <c r="G10" s="227">
        <f t="shared" si="3"/>
        <v>8308</v>
      </c>
      <c r="H10" s="227">
        <f t="shared" si="3"/>
        <v>8308</v>
      </c>
      <c r="I10" s="227">
        <f t="shared" si="3"/>
        <v>8308</v>
      </c>
      <c r="J10" s="227">
        <f t="shared" si="3"/>
        <v>8308</v>
      </c>
    </row>
    <row r="11" spans="2:10" x14ac:dyDescent="0.4">
      <c r="E11" s="227"/>
      <c r="F11" s="227"/>
      <c r="G11" s="227"/>
      <c r="H11" s="227"/>
      <c r="I11" s="227"/>
      <c r="J11" s="227"/>
    </row>
    <row r="12" spans="2:10" x14ac:dyDescent="0.4">
      <c r="E12" s="227"/>
      <c r="F12" s="227"/>
      <c r="G12" s="227"/>
      <c r="H12" s="227"/>
      <c r="I12" s="227"/>
      <c r="J12" s="227"/>
    </row>
    <row r="13" spans="2:10" x14ac:dyDescent="0.4">
      <c r="B13" t="s">
        <v>81</v>
      </c>
      <c r="D13" s="229" t="s">
        <v>82</v>
      </c>
      <c r="E13" s="227"/>
      <c r="F13" s="227"/>
      <c r="G13" s="227"/>
      <c r="H13" s="227"/>
      <c r="I13" s="227"/>
      <c r="J13" s="227"/>
    </row>
    <row r="14" spans="2:10" x14ac:dyDescent="0.4">
      <c r="B14" t="s">
        <v>98</v>
      </c>
      <c r="D14" s="227">
        <v>165000</v>
      </c>
      <c r="E14" s="227">
        <v>13750</v>
      </c>
      <c r="F14" s="227">
        <f t="shared" ref="F14:J14" si="4">E14</f>
        <v>13750</v>
      </c>
      <c r="G14" s="227">
        <f t="shared" si="4"/>
        <v>13750</v>
      </c>
      <c r="H14" s="227">
        <f t="shared" si="4"/>
        <v>13750</v>
      </c>
      <c r="I14" s="227">
        <f t="shared" si="4"/>
        <v>13750</v>
      </c>
      <c r="J14" s="227">
        <f t="shared" si="4"/>
        <v>13750</v>
      </c>
    </row>
    <row r="15" spans="2:10" x14ac:dyDescent="0.4">
      <c r="B15" t="s">
        <v>99</v>
      </c>
      <c r="D15" s="227">
        <v>130000</v>
      </c>
      <c r="E15" s="227">
        <v>10833.33</v>
      </c>
      <c r="F15" s="227">
        <f t="shared" ref="F15:J15" si="5">E15</f>
        <v>10833.33</v>
      </c>
      <c r="G15" s="227">
        <f t="shared" si="5"/>
        <v>10833.33</v>
      </c>
      <c r="H15" s="227">
        <f t="shared" si="5"/>
        <v>10833.33</v>
      </c>
      <c r="I15" s="227">
        <f t="shared" si="5"/>
        <v>10833.33</v>
      </c>
      <c r="J15" s="227">
        <f t="shared" si="5"/>
        <v>10833.33</v>
      </c>
    </row>
    <row r="16" spans="2:10" x14ac:dyDescent="0.4">
      <c r="B16" t="s">
        <v>100</v>
      </c>
      <c r="D16" s="227">
        <v>50000</v>
      </c>
      <c r="E16" s="227">
        <v>4166.67</v>
      </c>
      <c r="F16" s="227">
        <f t="shared" ref="F16:J16" si="6">E16</f>
        <v>4166.67</v>
      </c>
      <c r="G16" s="227">
        <f t="shared" si="6"/>
        <v>4166.67</v>
      </c>
      <c r="H16" s="227">
        <f t="shared" si="6"/>
        <v>4166.67</v>
      </c>
      <c r="I16" s="227">
        <f t="shared" si="6"/>
        <v>4166.67</v>
      </c>
      <c r="J16" s="227">
        <f t="shared" si="6"/>
        <v>4166.67</v>
      </c>
    </row>
    <row r="17" spans="2:10" x14ac:dyDescent="0.4">
      <c r="B17" t="s">
        <v>101</v>
      </c>
      <c r="D17" s="227">
        <v>63000</v>
      </c>
      <c r="E17" s="227">
        <v>5250</v>
      </c>
      <c r="F17" s="227">
        <f t="shared" ref="F17:J17" si="7">E17</f>
        <v>5250</v>
      </c>
      <c r="G17" s="227">
        <f t="shared" si="7"/>
        <v>5250</v>
      </c>
      <c r="H17" s="227">
        <f t="shared" si="7"/>
        <v>5250</v>
      </c>
      <c r="I17" s="227">
        <f t="shared" si="7"/>
        <v>5250</v>
      </c>
      <c r="J17" s="227">
        <f t="shared" si="7"/>
        <v>5250</v>
      </c>
    </row>
    <row r="18" spans="2:10" x14ac:dyDescent="0.4">
      <c r="B18" t="s">
        <v>102</v>
      </c>
      <c r="D18" s="227">
        <v>140000</v>
      </c>
      <c r="E18" s="227">
        <v>11666.67</v>
      </c>
      <c r="F18" s="227">
        <f>E18</f>
        <v>11666.67</v>
      </c>
      <c r="G18" s="227">
        <f>150000/12</f>
        <v>12500</v>
      </c>
      <c r="H18" s="227">
        <f t="shared" ref="H18:J18" si="8">G18</f>
        <v>12500</v>
      </c>
      <c r="I18" s="227">
        <f t="shared" si="8"/>
        <v>12500</v>
      </c>
      <c r="J18" s="227">
        <f t="shared" si="8"/>
        <v>12500</v>
      </c>
    </row>
    <row r="19" spans="2:10" x14ac:dyDescent="0.4">
      <c r="B19" t="s">
        <v>103</v>
      </c>
      <c r="D19" s="227">
        <v>150000</v>
      </c>
      <c r="E19" s="227">
        <v>12500</v>
      </c>
      <c r="F19" s="227">
        <f t="shared" ref="F19:J19" si="9">E19</f>
        <v>12500</v>
      </c>
      <c r="G19" s="227">
        <f t="shared" si="9"/>
        <v>12500</v>
      </c>
      <c r="H19" s="227">
        <f t="shared" si="9"/>
        <v>12500</v>
      </c>
      <c r="I19" s="227">
        <f t="shared" si="9"/>
        <v>12500</v>
      </c>
      <c r="J19" s="227">
        <f t="shared" si="9"/>
        <v>12500</v>
      </c>
    </row>
    <row r="20" spans="2:10" x14ac:dyDescent="0.4">
      <c r="B20" t="s">
        <v>104</v>
      </c>
      <c r="D20" s="227">
        <v>68000</v>
      </c>
      <c r="E20" s="227">
        <v>5666.67</v>
      </c>
      <c r="F20" s="227">
        <f t="shared" ref="F20:I20" si="10">E20</f>
        <v>5666.67</v>
      </c>
      <c r="G20" s="227">
        <f t="shared" si="10"/>
        <v>5666.67</v>
      </c>
      <c r="H20" s="227">
        <f t="shared" si="10"/>
        <v>5666.67</v>
      </c>
      <c r="I20" s="227">
        <f t="shared" si="10"/>
        <v>5666.67</v>
      </c>
      <c r="J20" s="227">
        <f>71400/12</f>
        <v>5950</v>
      </c>
    </row>
    <row r="21" spans="2:10" x14ac:dyDescent="0.4">
      <c r="B21" t="s">
        <v>105</v>
      </c>
      <c r="D21" s="227">
        <v>126000</v>
      </c>
      <c r="E21" s="227">
        <v>10500</v>
      </c>
      <c r="F21" s="227"/>
      <c r="G21" s="227"/>
      <c r="H21" s="227"/>
      <c r="I21" s="227"/>
      <c r="J21" s="227"/>
    </row>
    <row r="22" spans="2:10" x14ac:dyDescent="0.4">
      <c r="B22" t="s">
        <v>106</v>
      </c>
      <c r="D22" s="227">
        <v>65000</v>
      </c>
      <c r="E22" s="227">
        <v>5416.67</v>
      </c>
      <c r="F22" s="227">
        <f t="shared" ref="F22:J22" si="11">E22</f>
        <v>5416.67</v>
      </c>
      <c r="G22" s="227">
        <f t="shared" si="11"/>
        <v>5416.67</v>
      </c>
      <c r="H22" s="227">
        <f t="shared" si="11"/>
        <v>5416.67</v>
      </c>
      <c r="I22" s="227">
        <f t="shared" si="11"/>
        <v>5416.67</v>
      </c>
      <c r="J22" s="227">
        <f t="shared" si="11"/>
        <v>5416.67</v>
      </c>
    </row>
    <row r="23" spans="2:10" x14ac:dyDescent="0.4">
      <c r="B23" t="s">
        <v>107</v>
      </c>
      <c r="D23" s="227">
        <v>100000</v>
      </c>
      <c r="E23" s="227">
        <v>8333.33</v>
      </c>
      <c r="F23" s="227">
        <f t="shared" ref="F23:H23" si="12">E23</f>
        <v>8333.33</v>
      </c>
      <c r="G23" s="227">
        <f t="shared" si="12"/>
        <v>8333.33</v>
      </c>
      <c r="H23" s="227">
        <f t="shared" si="12"/>
        <v>8333.33</v>
      </c>
      <c r="I23" s="227">
        <f>H23</f>
        <v>8333.33</v>
      </c>
      <c r="J23" s="227">
        <f>I23</f>
        <v>8333.33</v>
      </c>
    </row>
    <row r="24" spans="2:10" x14ac:dyDescent="0.4">
      <c r="B24" t="s">
        <v>108</v>
      </c>
      <c r="D24" s="227">
        <f>1800*2*12</f>
        <v>43200</v>
      </c>
      <c r="E24" s="227">
        <f>D24/12</f>
        <v>3600</v>
      </c>
      <c r="F24" s="227">
        <f>D24/12</f>
        <v>3600</v>
      </c>
      <c r="G24" s="227">
        <f>F24</f>
        <v>3600</v>
      </c>
      <c r="H24" s="227">
        <f>G24</f>
        <v>3600</v>
      </c>
      <c r="I24" s="227">
        <f>H24</f>
        <v>3600</v>
      </c>
      <c r="J24" s="227">
        <f>I24</f>
        <v>3600</v>
      </c>
    </row>
    <row r="25" spans="2:10" x14ac:dyDescent="0.4">
      <c r="D25" s="227"/>
      <c r="E25" s="227"/>
      <c r="F25" s="227"/>
      <c r="G25" s="227"/>
      <c r="H25" s="227"/>
      <c r="I25" s="227"/>
      <c r="J25" s="227"/>
    </row>
    <row r="26" spans="2:10" x14ac:dyDescent="0.4">
      <c r="B26" s="226" t="s">
        <v>83</v>
      </c>
      <c r="D26" s="227"/>
    </row>
    <row r="27" spans="2:10" x14ac:dyDescent="0.4">
      <c r="B27" s="7" t="s">
        <v>109</v>
      </c>
      <c r="D27" s="227">
        <v>75000</v>
      </c>
      <c r="H27" s="227">
        <f>D27/12/4</f>
        <v>1562.5</v>
      </c>
      <c r="I27" s="227">
        <f>H27*4</f>
        <v>6250</v>
      </c>
      <c r="J27" s="227">
        <f>I27</f>
        <v>6250</v>
      </c>
    </row>
    <row r="28" spans="2:10" x14ac:dyDescent="0.4">
      <c r="B28" s="7" t="s">
        <v>110</v>
      </c>
      <c r="D28" s="227">
        <f>5417*12</f>
        <v>65004</v>
      </c>
      <c r="G28" s="227"/>
      <c r="H28" s="227"/>
      <c r="I28" s="227">
        <f t="shared" ref="I28:I30" si="13">D28/12</f>
        <v>5417</v>
      </c>
      <c r="J28" s="227">
        <f t="shared" ref="J28" si="14">I28</f>
        <v>5417</v>
      </c>
    </row>
    <row r="29" spans="2:10" x14ac:dyDescent="0.4">
      <c r="B29" s="7" t="s">
        <v>111</v>
      </c>
      <c r="D29" s="227">
        <v>50000</v>
      </c>
      <c r="H29" s="227"/>
      <c r="I29" s="227">
        <f t="shared" si="13"/>
        <v>4166.666666666667</v>
      </c>
      <c r="J29" s="227">
        <f t="shared" ref="J29" si="15">I29</f>
        <v>4166.666666666667</v>
      </c>
    </row>
    <row r="30" spans="2:10" x14ac:dyDescent="0.4">
      <c r="B30" s="7" t="s">
        <v>112</v>
      </c>
      <c r="D30" s="227">
        <v>45000</v>
      </c>
      <c r="H30" s="227"/>
      <c r="I30" s="227">
        <f t="shared" si="13"/>
        <v>3750</v>
      </c>
      <c r="J30" s="227">
        <f>I30</f>
        <v>3750</v>
      </c>
    </row>
    <row r="31" spans="2:10" x14ac:dyDescent="0.4">
      <c r="D31" s="227"/>
      <c r="H31" s="227"/>
      <c r="I31" s="227"/>
      <c r="J31" s="227"/>
    </row>
    <row r="32" spans="2:10" x14ac:dyDescent="0.4">
      <c r="D32" s="227"/>
    </row>
    <row r="33" spans="2:10" x14ac:dyDescent="0.4">
      <c r="B33" t="s">
        <v>84</v>
      </c>
      <c r="D33" s="227"/>
      <c r="E33" s="227">
        <f t="shared" ref="E33:J33" si="16">SUM(E7:E30)</f>
        <v>112722.28</v>
      </c>
      <c r="F33" s="227">
        <f t="shared" si="16"/>
        <v>102222.28</v>
      </c>
      <c r="G33" s="227">
        <f t="shared" si="16"/>
        <v>101372.39</v>
      </c>
      <c r="H33" s="227">
        <f t="shared" si="16"/>
        <v>101008.17</v>
      </c>
      <c r="I33" s="227">
        <f t="shared" si="16"/>
        <v>119029.33666666667</v>
      </c>
      <c r="J33" s="227">
        <f t="shared" si="16"/>
        <v>119312.66666666667</v>
      </c>
    </row>
    <row r="34" spans="2:10" s="225" customFormat="1" x14ac:dyDescent="0.4">
      <c r="B34" s="225" t="s">
        <v>85</v>
      </c>
      <c r="D34" s="228"/>
      <c r="E34" s="228">
        <f>E33*1.08</f>
        <v>121740.06240000001</v>
      </c>
      <c r="F34" s="228">
        <f t="shared" ref="F34:J34" si="17">F33*1.08</f>
        <v>110400.06240000001</v>
      </c>
      <c r="G34" s="228">
        <f t="shared" si="17"/>
        <v>109482.18120000001</v>
      </c>
      <c r="H34" s="228">
        <f t="shared" si="17"/>
        <v>109088.8236</v>
      </c>
      <c r="I34" s="228">
        <f t="shared" si="17"/>
        <v>128551.68360000002</v>
      </c>
      <c r="J34" s="228">
        <f t="shared" si="17"/>
        <v>128857.68000000001</v>
      </c>
    </row>
    <row r="35" spans="2:10" x14ac:dyDescent="0.4">
      <c r="D35" s="227"/>
    </row>
    <row r="36" spans="2:10" x14ac:dyDescent="0.4">
      <c r="D36" s="227"/>
    </row>
    <row r="37" spans="2:10" x14ac:dyDescent="0.4">
      <c r="D37" s="227"/>
    </row>
    <row r="38" spans="2:10" x14ac:dyDescent="0.4">
      <c r="D38" s="227"/>
    </row>
  </sheetData>
  <mergeCells count="1">
    <mergeCell ref="E2:J2"/>
  </mergeCells>
  <phoneticPr fontId="4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E3C2F-9589-4E40-9ED5-14B585D48CDF}">
  <dimension ref="B2:O39"/>
  <sheetViews>
    <sheetView zoomScaleNormal="100" workbookViewId="0">
      <selection activeCell="L39" sqref="L39"/>
    </sheetView>
  </sheetViews>
  <sheetFormatPr defaultRowHeight="14.6" x14ac:dyDescent="0.4"/>
  <cols>
    <col min="2" max="2" width="54.3046875" bestFit="1" customWidth="1"/>
    <col min="3" max="3" width="12.69140625" customWidth="1"/>
    <col min="4" max="4" width="16.69140625" bestFit="1" customWidth="1"/>
    <col min="5" max="5" width="12.69140625" bestFit="1" customWidth="1"/>
    <col min="6" max="6" width="16.3046875" customWidth="1"/>
    <col min="7" max="10" width="12.15234375" bestFit="1" customWidth="1"/>
    <col min="11" max="11" width="13.3046875" customWidth="1"/>
    <col min="12" max="12" width="14.69140625" customWidth="1"/>
    <col min="13" max="13" width="12.53515625" customWidth="1"/>
    <col min="14" max="15" width="12.53515625" bestFit="1" customWidth="1"/>
    <col min="17" max="17" width="9.84375" bestFit="1" customWidth="1"/>
  </cols>
  <sheetData>
    <row r="2" spans="2:15" ht="18.45" x14ac:dyDescent="0.5">
      <c r="B2" s="285" t="s">
        <v>134</v>
      </c>
    </row>
    <row r="3" spans="2:15" x14ac:dyDescent="0.4">
      <c r="B3" t="s">
        <v>142</v>
      </c>
      <c r="C3" s="286"/>
      <c r="D3" s="287"/>
      <c r="E3" s="286"/>
      <c r="F3" s="288"/>
    </row>
    <row r="4" spans="2:15" x14ac:dyDescent="0.4">
      <c r="B4" s="188"/>
      <c r="C4" s="289" t="s">
        <v>135</v>
      </c>
      <c r="D4" s="290">
        <v>43865</v>
      </c>
      <c r="E4" s="286"/>
      <c r="F4" s="288"/>
    </row>
    <row r="5" spans="2:15" x14ac:dyDescent="0.4">
      <c r="C5" s="291" t="s">
        <v>20</v>
      </c>
      <c r="D5" s="289" t="s">
        <v>21</v>
      </c>
      <c r="E5" s="289" t="s">
        <v>1</v>
      </c>
      <c r="F5" s="289" t="s">
        <v>22</v>
      </c>
      <c r="G5" s="289" t="s">
        <v>15</v>
      </c>
      <c r="H5" s="289" t="s">
        <v>23</v>
      </c>
      <c r="I5" s="289" t="s">
        <v>24</v>
      </c>
      <c r="J5" s="289" t="s">
        <v>25</v>
      </c>
      <c r="K5" s="289" t="s">
        <v>26</v>
      </c>
      <c r="L5" s="289" t="s">
        <v>18</v>
      </c>
      <c r="M5" s="289" t="s">
        <v>19</v>
      </c>
      <c r="N5" s="289" t="s">
        <v>0</v>
      </c>
    </row>
    <row r="6" spans="2:15" x14ac:dyDescent="0.4">
      <c r="B6" s="225" t="s">
        <v>136</v>
      </c>
      <c r="C6" s="292">
        <v>500000</v>
      </c>
      <c r="D6" s="293">
        <v>750000</v>
      </c>
      <c r="E6" s="293">
        <v>250000</v>
      </c>
      <c r="F6" s="294">
        <v>-200000</v>
      </c>
      <c r="G6" s="295">
        <v>-500000</v>
      </c>
      <c r="H6" s="295">
        <v>-750000</v>
      </c>
      <c r="I6" s="295">
        <v>-1200000</v>
      </c>
      <c r="J6" s="295">
        <v>-1400000</v>
      </c>
      <c r="K6" s="295">
        <v>-1800000</v>
      </c>
      <c r="L6" s="295">
        <v>-2000000</v>
      </c>
      <c r="M6" s="295">
        <v>-2400000</v>
      </c>
      <c r="N6" s="295">
        <v>-3000000</v>
      </c>
    </row>
    <row r="7" spans="2:15" x14ac:dyDescent="0.4">
      <c r="C7" s="296"/>
      <c r="D7" s="288"/>
    </row>
    <row r="8" spans="2:15" x14ac:dyDescent="0.4">
      <c r="B8" s="225" t="s">
        <v>143</v>
      </c>
      <c r="C8" s="292"/>
      <c r="D8" s="293"/>
      <c r="E8" s="293"/>
      <c r="F8" s="293">
        <v>150000</v>
      </c>
    </row>
    <row r="9" spans="2:15" x14ac:dyDescent="0.4">
      <c r="B9" s="188" t="s">
        <v>137</v>
      </c>
      <c r="C9" s="297"/>
      <c r="D9" s="298"/>
      <c r="E9" s="298"/>
      <c r="F9" s="293">
        <f>-F8*0.1</f>
        <v>-15000</v>
      </c>
    </row>
    <row r="10" spans="2:15" x14ac:dyDescent="0.4">
      <c r="B10" s="188"/>
      <c r="C10" s="299">
        <v>500000</v>
      </c>
      <c r="D10" s="295">
        <f>D6+SUM($C$8:D8)+SUM($C$9:D9)</f>
        <v>750000</v>
      </c>
      <c r="E10" s="295">
        <f>E6+SUM($C$8:E8)+SUM($C$9:E9)</f>
        <v>250000</v>
      </c>
      <c r="F10" s="294">
        <f>F6+SUM($C$8:F8)+SUM($C$9:F9)</f>
        <v>-65000</v>
      </c>
      <c r="G10" s="295">
        <f>G6+SUM($C$8:G8)+SUM($C$9:G9)</f>
        <v>-365000</v>
      </c>
      <c r="H10" s="295">
        <f>H6+SUM($C$8:H8)+SUM($C$9:H9)</f>
        <v>-615000</v>
      </c>
      <c r="I10" s="295">
        <f>I6+SUM($C$8:I8)+SUM($C$9:I9)</f>
        <v>-1065000</v>
      </c>
      <c r="J10" s="295">
        <f>J6+SUM($C$8:J8)+SUM($C$9:J9)</f>
        <v>-1265000</v>
      </c>
      <c r="K10" s="295">
        <f>K6+SUM($C$8:K8)+SUM($C$9:K9)</f>
        <v>-1665000</v>
      </c>
      <c r="L10" s="295">
        <f>L6+SUM($C$8:L8)+SUM($C$9:L9)</f>
        <v>-1865000</v>
      </c>
      <c r="M10" s="295">
        <f>M6+SUM($C$8:M8)+SUM($C$9:M9)</f>
        <v>-2265000</v>
      </c>
      <c r="N10" s="295">
        <f>N6+SUM($C$8:N8)+SUM($C$9:N9)</f>
        <v>-2865000</v>
      </c>
      <c r="O10" s="5">
        <f>N10-N6-SUM(C8:N9)</f>
        <v>0</v>
      </c>
    </row>
    <row r="11" spans="2:15" x14ac:dyDescent="0.4">
      <c r="C11" s="296"/>
      <c r="D11" s="288"/>
    </row>
    <row r="12" spans="2:15" x14ac:dyDescent="0.4">
      <c r="C12" s="296"/>
      <c r="D12" s="288"/>
    </row>
    <row r="13" spans="2:15" x14ac:dyDescent="0.4">
      <c r="B13" s="225" t="s">
        <v>144</v>
      </c>
      <c r="C13" s="292"/>
      <c r="E13" s="293"/>
      <c r="F13" s="293">
        <f>100000</f>
        <v>100000</v>
      </c>
      <c r="G13" s="293">
        <v>90000</v>
      </c>
      <c r="H13" s="293"/>
      <c r="I13" s="293"/>
      <c r="J13" s="293"/>
      <c r="K13" s="293"/>
      <c r="L13" s="293"/>
      <c r="M13" s="293"/>
      <c r="N13" s="293"/>
    </row>
    <row r="14" spans="2:15" x14ac:dyDescent="0.4">
      <c r="B14" s="188" t="s">
        <v>137</v>
      </c>
      <c r="C14" s="297"/>
      <c r="F14" s="293">
        <f>100000*0.1</f>
        <v>10000</v>
      </c>
      <c r="G14" s="293">
        <f>90000*0.1</f>
        <v>9000</v>
      </c>
      <c r="H14" s="293"/>
      <c r="I14" s="293"/>
      <c r="J14" s="293"/>
      <c r="K14" s="293"/>
      <c r="L14" s="293"/>
      <c r="M14" s="293"/>
      <c r="N14" s="293"/>
    </row>
    <row r="15" spans="2:15" x14ac:dyDescent="0.4">
      <c r="B15" s="188"/>
      <c r="C15" s="299">
        <v>500000</v>
      </c>
      <c r="D15" s="295">
        <f>D10+SUM($C$13:G13)+SUM($C$14:G14)</f>
        <v>959000</v>
      </c>
      <c r="E15" s="295">
        <f>E10+SUM($C$13:H13)+SUM($C$14:H14)</f>
        <v>459000</v>
      </c>
      <c r="F15" s="295">
        <f>F10+SUM($C$13:I13)+SUM($C$14:I14)</f>
        <v>144000</v>
      </c>
      <c r="G15" s="294">
        <f>G10+SUM($C$13:F13)+SUM($C$14:F14)</f>
        <v>-255000</v>
      </c>
      <c r="H15" s="295">
        <f>H10+SUM($C$13:F13)+SUM($C$14:F14)</f>
        <v>-505000</v>
      </c>
      <c r="I15" s="295">
        <f>I10+SUM($C$13:I13)+SUM($C$14:I14)</f>
        <v>-856000</v>
      </c>
      <c r="J15" s="295">
        <f>J10+SUM($C$13:J13)+SUM($C$14:J14)</f>
        <v>-1056000</v>
      </c>
      <c r="K15" s="295">
        <f>K10+SUM($C$13:K13)+SUM($C$14:K14)</f>
        <v>-1456000</v>
      </c>
      <c r="L15" s="295">
        <f>L10+SUM($C$13:L13)+SUM($C$14:L14)</f>
        <v>-1656000</v>
      </c>
      <c r="M15" s="295">
        <f>M10+SUM($C$13:M13)+SUM($C$14:M14)</f>
        <v>-2056000</v>
      </c>
      <c r="N15" s="295">
        <f>N10+SUM($C$13:N13)+SUM($C$14:N14)</f>
        <v>-2656000</v>
      </c>
      <c r="O15" s="5">
        <f>N15-N10-SUM(C13:N14)</f>
        <v>0</v>
      </c>
    </row>
    <row r="16" spans="2:15" x14ac:dyDescent="0.4">
      <c r="C16" s="296"/>
      <c r="D16" s="288"/>
    </row>
    <row r="17" spans="2:15" x14ac:dyDescent="0.4">
      <c r="C17" s="296"/>
      <c r="D17" s="288"/>
    </row>
    <row r="18" spans="2:15" x14ac:dyDescent="0.4">
      <c r="B18" s="225" t="s">
        <v>145</v>
      </c>
      <c r="C18" s="292"/>
      <c r="D18" s="293"/>
      <c r="E18" s="293"/>
      <c r="F18" s="293"/>
      <c r="G18" s="293">
        <v>1000000</v>
      </c>
      <c r="H18" s="293"/>
      <c r="I18" s="293"/>
      <c r="J18" s="293"/>
      <c r="K18" s="293"/>
      <c r="L18" s="293"/>
      <c r="M18" s="293"/>
      <c r="N18" s="293"/>
    </row>
    <row r="19" spans="2:15" x14ac:dyDescent="0.4">
      <c r="B19" s="188" t="s">
        <v>137</v>
      </c>
      <c r="C19" s="297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</row>
    <row r="20" spans="2:15" x14ac:dyDescent="0.4">
      <c r="C20" s="299">
        <v>500000</v>
      </c>
      <c r="D20" s="295">
        <f>D15+SUM($C$18:D18)+SUM($C$19:D19)</f>
        <v>959000</v>
      </c>
      <c r="E20" s="295">
        <f>E15+SUM($C$18:E18)+SUM($C$19:E19)</f>
        <v>459000</v>
      </c>
      <c r="F20" s="295">
        <f>F15+SUM($C$18:F18)+SUM($C$19:F19)</f>
        <v>144000</v>
      </c>
      <c r="G20" s="295">
        <f>G15+SUM($C$18:G18)+SUM($C$19:G19)</f>
        <v>745000</v>
      </c>
      <c r="H20" s="295">
        <f>H15+SUM($C$18:H18)+SUM($C$19:H19)</f>
        <v>495000</v>
      </c>
      <c r="I20" s="295">
        <f>I15+SUM($C$18:I18)+SUM($C$19:I19)</f>
        <v>144000</v>
      </c>
      <c r="J20" s="294">
        <f>J15+SUM($C$18:J18)+SUM($C$19:J19)</f>
        <v>-56000</v>
      </c>
      <c r="K20" s="295">
        <f>K15+SUM($C$18:K18)+SUM($C$19:K19)</f>
        <v>-456000</v>
      </c>
      <c r="L20" s="295">
        <f>L15+SUM($C$18:L18)+SUM($C$19:L19)</f>
        <v>-656000</v>
      </c>
      <c r="M20" s="295">
        <f>M15+SUM($C$18:M18)+SUM($C$19:M19)</f>
        <v>-1056000</v>
      </c>
      <c r="N20" s="295">
        <f>N15+SUM($C$18:N18)+SUM($C$19:N19)</f>
        <v>-1656000</v>
      </c>
      <c r="O20" s="5">
        <f>N20-N15-SUM(C18:N19)</f>
        <v>0</v>
      </c>
    </row>
    <row r="21" spans="2:15" x14ac:dyDescent="0.4">
      <c r="C21" s="292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5"/>
    </row>
    <row r="22" spans="2:15" x14ac:dyDescent="0.4">
      <c r="C22" s="292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5"/>
    </row>
    <row r="23" spans="2:15" x14ac:dyDescent="0.4">
      <c r="C23" s="296"/>
      <c r="D23" s="288"/>
    </row>
    <row r="24" spans="2:15" x14ac:dyDescent="0.4">
      <c r="C24" s="292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</row>
    <row r="25" spans="2:15" x14ac:dyDescent="0.4">
      <c r="B25" s="225" t="s">
        <v>138</v>
      </c>
      <c r="C25" s="292">
        <v>500000</v>
      </c>
      <c r="D25" s="293">
        <v>750000</v>
      </c>
      <c r="E25" s="293">
        <v>260000</v>
      </c>
      <c r="F25" s="293">
        <v>300000</v>
      </c>
      <c r="G25" s="293">
        <v>160000</v>
      </c>
      <c r="H25" s="293">
        <v>130000</v>
      </c>
      <c r="I25" s="300">
        <v>-60000</v>
      </c>
      <c r="J25" s="293">
        <v>-180000</v>
      </c>
      <c r="K25" s="293">
        <v>-300000</v>
      </c>
      <c r="L25" s="293">
        <v>-200000</v>
      </c>
      <c r="M25" s="293">
        <v>-450000</v>
      </c>
      <c r="N25" s="293">
        <v>-800000</v>
      </c>
    </row>
    <row r="26" spans="2:15" x14ac:dyDescent="0.4">
      <c r="B26" s="188" t="s">
        <v>139</v>
      </c>
      <c r="C26" s="301">
        <v>380000</v>
      </c>
      <c r="D26" s="301">
        <v>450000</v>
      </c>
      <c r="E26" s="301">
        <v>250000</v>
      </c>
      <c r="F26" s="301">
        <v>200000</v>
      </c>
      <c r="G26" s="301">
        <v>80000</v>
      </c>
      <c r="H26" s="304">
        <v>-12000</v>
      </c>
      <c r="I26" s="301">
        <v>-200000</v>
      </c>
      <c r="J26" s="301">
        <v>-50000</v>
      </c>
      <c r="K26" s="301">
        <v>-150000</v>
      </c>
      <c r="L26" s="301">
        <v>-120000</v>
      </c>
      <c r="M26" s="301">
        <v>-350000</v>
      </c>
      <c r="N26" s="301">
        <v>-700000</v>
      </c>
    </row>
    <row r="27" spans="2:15" x14ac:dyDescent="0.4">
      <c r="B27" s="188" t="s">
        <v>140</v>
      </c>
      <c r="C27" s="302">
        <f>C25-C26</f>
        <v>120000</v>
      </c>
      <c r="D27" s="302">
        <f t="shared" ref="D27:N27" si="0">D25-D26</f>
        <v>300000</v>
      </c>
      <c r="E27" s="302">
        <f t="shared" si="0"/>
        <v>10000</v>
      </c>
      <c r="F27" s="302">
        <f t="shared" si="0"/>
        <v>100000</v>
      </c>
      <c r="G27" s="302">
        <f t="shared" si="0"/>
        <v>80000</v>
      </c>
      <c r="H27" s="302">
        <f t="shared" si="0"/>
        <v>142000</v>
      </c>
      <c r="I27" s="302">
        <f t="shared" si="0"/>
        <v>140000</v>
      </c>
      <c r="J27" s="302">
        <f t="shared" si="0"/>
        <v>-130000</v>
      </c>
      <c r="K27" s="302">
        <f t="shared" si="0"/>
        <v>-150000</v>
      </c>
      <c r="L27" s="302">
        <f t="shared" si="0"/>
        <v>-80000</v>
      </c>
      <c r="M27" s="302">
        <f t="shared" si="0"/>
        <v>-100000</v>
      </c>
      <c r="N27" s="302">
        <f t="shared" si="0"/>
        <v>-100000</v>
      </c>
    </row>
    <row r="28" spans="2:15" x14ac:dyDescent="0.4">
      <c r="B28" s="188" t="s">
        <v>141</v>
      </c>
      <c r="C28" s="288"/>
      <c r="D28" s="288"/>
      <c r="E28" s="303"/>
      <c r="F28" s="303"/>
      <c r="G28" s="303"/>
      <c r="H28" s="303"/>
      <c r="I28" s="303"/>
      <c r="J28" s="303"/>
      <c r="K28" s="303"/>
      <c r="L28" s="303"/>
      <c r="M28" s="303"/>
      <c r="N28" s="303"/>
    </row>
    <row r="29" spans="2:15" x14ac:dyDescent="0.4">
      <c r="C29" s="288"/>
      <c r="D29" s="288"/>
      <c r="G29" s="303"/>
      <c r="H29" s="303"/>
      <c r="I29" s="303"/>
      <c r="J29" s="303"/>
      <c r="K29" s="303"/>
      <c r="L29" s="303"/>
      <c r="M29" s="303"/>
      <c r="N29" s="303"/>
    </row>
    <row r="30" spans="2:15" x14ac:dyDescent="0.4">
      <c r="C30" s="288"/>
      <c r="D30" s="288"/>
      <c r="G30" s="303"/>
      <c r="H30" s="303"/>
      <c r="I30" s="303"/>
      <c r="J30" s="303"/>
      <c r="K30" s="303"/>
      <c r="L30" s="303"/>
      <c r="M30" s="303"/>
      <c r="N30" s="303"/>
    </row>
    <row r="31" spans="2:15" x14ac:dyDescent="0.4">
      <c r="C31" s="288"/>
      <c r="D31" s="288"/>
      <c r="G31" s="303"/>
      <c r="H31" s="303"/>
      <c r="I31" s="303"/>
      <c r="J31" s="303"/>
      <c r="K31" s="303"/>
      <c r="L31" s="303"/>
      <c r="M31" s="303"/>
      <c r="N31" s="303"/>
    </row>
    <row r="32" spans="2:15" x14ac:dyDescent="0.4">
      <c r="C32" s="288"/>
      <c r="D32" s="288"/>
      <c r="G32" s="303"/>
      <c r="H32" s="303"/>
      <c r="I32" s="303"/>
      <c r="J32" s="303"/>
      <c r="K32" s="303"/>
      <c r="L32" s="303"/>
      <c r="M32" s="303"/>
      <c r="N32" s="303"/>
    </row>
    <row r="33" spans="3:14" x14ac:dyDescent="0.4">
      <c r="C33" s="288"/>
      <c r="D33" s="288"/>
      <c r="G33" s="303"/>
      <c r="H33" s="303"/>
      <c r="I33" s="303"/>
      <c r="J33" s="303"/>
      <c r="K33" s="303"/>
      <c r="L33" s="303"/>
      <c r="M33" s="303"/>
      <c r="N33" s="303"/>
    </row>
    <row r="34" spans="3:14" x14ac:dyDescent="0.4">
      <c r="C34" s="288"/>
      <c r="D34" s="288"/>
      <c r="G34" s="303"/>
      <c r="H34" s="303"/>
      <c r="I34" s="303"/>
      <c r="J34" s="303"/>
      <c r="K34" s="303"/>
      <c r="L34" s="303"/>
      <c r="M34" s="303"/>
      <c r="N34" s="303"/>
    </row>
    <row r="35" spans="3:14" x14ac:dyDescent="0.4">
      <c r="C35" s="288"/>
      <c r="D35" s="288"/>
      <c r="G35" s="303"/>
      <c r="H35" s="303"/>
      <c r="I35" s="303"/>
      <c r="J35" s="303"/>
      <c r="K35" s="303"/>
      <c r="L35" s="303"/>
      <c r="M35" s="303"/>
      <c r="N35" s="303"/>
    </row>
    <row r="36" spans="3:14" x14ac:dyDescent="0.4">
      <c r="C36" s="288"/>
      <c r="D36" s="288"/>
    </row>
    <row r="37" spans="3:14" x14ac:dyDescent="0.4">
      <c r="C37" s="288"/>
      <c r="D37" s="288"/>
    </row>
    <row r="38" spans="3:14" x14ac:dyDescent="0.4">
      <c r="C38" s="288"/>
      <c r="D38" s="288"/>
    </row>
    <row r="39" spans="3:14" x14ac:dyDescent="0.4">
      <c r="C39" s="288"/>
      <c r="D39" s="288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BB866ECA3C6C42999B7328CB44FAEC" ma:contentTypeVersion="13" ma:contentTypeDescription="Create a new document." ma:contentTypeScope="" ma:versionID="acb113eb2ccf914cde877208934954c2">
  <xsd:schema xmlns:xsd="http://www.w3.org/2001/XMLSchema" xmlns:xs="http://www.w3.org/2001/XMLSchema" xmlns:p="http://schemas.microsoft.com/office/2006/metadata/properties" xmlns:ns2="32548103-9132-49d0-8b4f-752efc0d18d9" xmlns:ns3="6ce719e6-f710-4139-85a0-164f57669e9a" targetNamespace="http://schemas.microsoft.com/office/2006/metadata/properties" ma:root="true" ma:fieldsID="3057a376eecd5bc7a37a66230de890fb" ns2:_="" ns3:_="">
    <xsd:import namespace="32548103-9132-49d0-8b4f-752efc0d18d9"/>
    <xsd:import namespace="6ce719e6-f710-4139-85a0-164f57669e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548103-9132-49d0-8b4f-752efc0d1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e719e6-f710-4139-85a0-164f57669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32548103-9132-49d0-8b4f-752efc0d18d9" xsi:nil="true"/>
  </documentManagement>
</p:properties>
</file>

<file path=customXml/itemProps1.xml><?xml version="1.0" encoding="utf-8"?>
<ds:datastoreItem xmlns:ds="http://schemas.openxmlformats.org/officeDocument/2006/customXml" ds:itemID="{962D6B62-6A5F-461D-B7B3-5E3704859F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81D5AB-ED61-4738-BA91-0C6EBC3D97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548103-9132-49d0-8b4f-752efc0d18d9"/>
    <ds:schemaRef ds:uri="6ce719e6-f710-4139-85a0-164f57669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D26FD9-4B4C-46C8-857E-47AF2A647EA6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32548103-9132-49d0-8b4f-752efc0d18d9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6ce719e6-f710-4139-85a0-164f57669e9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Cashflow - Detail</vt:lpstr>
      <vt:lpstr>Payroll Detail</vt:lpstr>
      <vt:lpstr>Scenarios</vt:lpstr>
      <vt:lpstr>'Cashflow - Detail'!Print_Area</vt:lpstr>
      <vt:lpstr>'Cashflow - Detail'!Print_Titles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2020-02-11T18:05:54Z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0x01010029BB866ECA3C6C42999B7328CB44FAEC</vt:lpwstr>
  </property>
  <property fmtid="{D5CDD505-2E9C-101B-9397-08002B2CF9AE}" pid="3" name="AuthorIds_UIVersion_49664">
    <vt:lpwstr>27</vt:lpwstr>
  </property>
</Properties>
</file>