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90" windowHeight="13110" tabRatio="843" activeTab="3"/>
  </bookViews>
  <sheets>
    <sheet name="1. Instructions" sheetId="1" r:id="rId1"/>
    <sheet name="2. Brownfield Impact" sheetId="2" r:id="rId2"/>
    <sheet name="3. Greenfield Impact" sheetId="3" r:id="rId3"/>
    <sheet name="4. Impact Comparison" sheetId="4" r:id="rId4"/>
    <sheet name="5. Scenarios" sheetId="5" r:id="rId5"/>
    <sheet name="6.Uncertainty" sheetId="6" r:id="rId6"/>
    <sheet name="7. Glossary" sheetId="7" r:id="rId7"/>
    <sheet name="8. References" sheetId="8" r:id="rId8"/>
  </sheets>
  <definedNames/>
  <calcPr fullCalcOnLoad="1" iterate="1" iterateCount="1" iterateDelta="0.001"/>
</workbook>
</file>

<file path=xl/sharedStrings.xml><?xml version="1.0" encoding="utf-8"?>
<sst xmlns="http://schemas.openxmlformats.org/spreadsheetml/2006/main" count="773" uniqueCount="418">
  <si>
    <r>
      <t>TTI 2009</t>
    </r>
  </si>
  <si>
    <r>
      <rPr>
        <sz val="11"/>
        <rFont val="Calibri"/>
        <family val="2"/>
      </rPr>
      <t>Texas Transportation Institute's Urban Mobility Report 2010 was utilized for average speed calculations</t>
    </r>
    <r>
      <rPr>
        <b/>
        <sz val="11"/>
        <rFont val="Calibri"/>
        <family val="2"/>
      </rPr>
      <t xml:space="preserve"> (TTI 2009)</t>
    </r>
  </si>
  <si>
    <r>
      <rPr>
        <sz val="11"/>
        <rFont val="Calibri"/>
        <family val="2"/>
      </rPr>
      <t xml:space="preserve">Texas Transportation Institute's Urban Mobility Report 2010 was utilized for average speed calculations </t>
    </r>
    <r>
      <rPr>
        <b/>
        <sz val="11"/>
        <rFont val="Calibri"/>
        <family val="2"/>
      </rPr>
      <t>(TTI 2009)</t>
    </r>
  </si>
  <si>
    <t xml:space="preserve">The Economic Input-Output Life Cycle Assessment (EIO-LCA) method estimates the materials and energy resources required for, and the environmental emissions resulting from, activities in our economy. Results from using the EIO-LCA on-line tool provide guidance on the relative impacts of different types of products, materials, services, or industries with respect to resource use and emissions throughout the supply chain. </t>
  </si>
  <si>
    <t>The Consumer Expenditure Survey (CE) program consists of two surveys, the Quarterly Interview Survey and the Diary Survey, that provide information on the buying habits of American consumers, including data on their expenditures, income, and consumer unit (families and single consumers) characteristics. The survey data are collected for the Bureau of Labor Statistics by the U.S. Census Bureau.</t>
  </si>
  <si>
    <t xml:space="preserve">Chris Hendrickson, Deborah Lange, Yeganeh Mashayekh and Amy Nagengast, Estimation of Comparative Life Cycle Costs and Greenhouse Gas Emissions of Residential Brownfield Redevelopments (In Progress): </t>
  </si>
  <si>
    <t>Carnegie Mellon University Green Design Institute. (2011) Economic Input-Output Life Cycle Assessment (EIO-LCA) US 2002 (428) model [Internet], Available from: (http://www.eiolca.net/) [Accessed 6 Jun, 2011]</t>
  </si>
  <si>
    <t xml:space="preserve">Two sets of detailed data tables are available. One set describes Housing Characteristics of U.S. housing units and the other set describes the Energy Consumption and Expenditures of those housing units. </t>
  </si>
  <si>
    <t xml:space="preserve"> MOBILE6 is an emission factor model for predicting gram per mile emissions of Hydrocarbons (HC), Carbon Monoxide (CO), Nitrogen Oxides (NOx), Carbon Dioxide (CO2), Particulate Matter (PM), and toxics from cars, trucks, and motorcycles under various conditions.</t>
  </si>
  <si>
    <t>The Emissions &amp; Generation Resource Integrated Database (eGRID) is a comprehensive source of data on the environmental characteristics of almost all electric power generated in the United States. eGRID is unique in that it links air emissions data with electric generation data for United States power plants.</t>
  </si>
  <si>
    <t>this study is to compare greenhouse gas (GHG), SOx, and NOx life-cycle emissions of electricity generated with NG/LNG/SNG and coal. This life-cycle comparison of air emissions from different fuels can help us better understand the advantages and disadvantages of using coal versus globally sourced NG for electricity generation.</t>
  </si>
  <si>
    <t>This study examines the effect of residential brownfield developments on VKT reduction and the resulting costs (including the cost of driving time, fuel, and external air pollution costs) based on 16 sites in 4 cities of Baltimore, Chicago, Minneapolis and Pittsburgh. The transportation sector is the second largest source of GHG emissions in the U.S. Reviving underutilized industrial sites can reduce the transportation sector’s impact on the environment by lowering vehicle kilometers traveled (VKT).</t>
  </si>
  <si>
    <t xml:space="preserve">This paper measures the damages due to emissions of air pollution in the United States. An integrated assessment model is used to calculate the marginal damage associated with emitting an additional ton of pollution from nearly 10,000 sources in the U.S. The total damage produced by a source is the marginal damage of an emission, its shadow price, times the total tons emitted from a speciﬁc source. </t>
  </si>
  <si>
    <t xml:space="preserve">The 2009 Urban Mobility Reports was based on the 2008 data and the TTI keeps updating the reports based on previous Urban Mobility Reports with an improved methodology and expanded coverage of the nation’s urban congestion problem and solutions. </t>
  </si>
  <si>
    <t>Walk Score is a number between 0 and 100 that measures the walkability of any address.</t>
  </si>
  <si>
    <t>Walk Score is a number between 0 and 100 that measures the walkability of any address. It is measured on a scale of zero to one hundred depending on the number of amenities within 1.6km of the site (90-100: Walker's Paradise — Daily errands do not require a car; 70-89: Very Walkable — Most errands can be accomplished on foot; 50-69: Somewhat Walkable — Some amenities within walking distance; 25-49: Car-Dependent — A few amenities within walking distance; 0-24:Car-Dependent — Almost all errands require a car. )</t>
  </si>
  <si>
    <r>
      <rPr>
        <b/>
        <sz val="11"/>
        <rFont val="Calibri"/>
        <family val="2"/>
      </rPr>
      <t xml:space="preserve">Walkscore 2011 </t>
    </r>
    <r>
      <rPr>
        <sz val="11"/>
        <rFont val="Calibri"/>
        <family val="2"/>
      </rPr>
      <t>- Go to walkscore.com and input a street address of a residence in the brownfield and greenfield that you are evaluating</t>
    </r>
  </si>
  <si>
    <t>This study assembled a set of two residential brownfield and two conventional greenfield developments for a sample of U.S. cities including Baltimore, Chicago, Milwaukee, Minneapolis, Pittsburgh, and St. Louis. Using the travel time and modes of transportation information from the 2000 U.S. Decennial Census, we analyzed the long-term commuting impacts from the two types of developments. Relative to greenfield development neighborhoods, we find that the brownfield development neighborhoods are closer to center cities, have higher public transportation use for commuting, comparable average travel times to work, and lower energy and greenhouse gas emissions for commuting.</t>
  </si>
  <si>
    <t xml:space="preserve">This study is based on a sample of brownfield and greenfield developments,  and developed a use phase life cycle assessment framework and estimate life cycle costs and greenhouse gas emissions for the two types of developments. Four major phases including remediation, residential building utility, residentail maintenance and residential traveling were considered for the life cycle assessment of brownfield compared to greenfield. The results showed the advantages of brownfields over greenfields becasue of residential traveling savings. </t>
  </si>
  <si>
    <t>This study defined and evaluated key external costs and benefits—related to health, environment, security, and infrastructure—that are associated with the production, distribution, and use of energy but not reflected in market prices or fully addressed by current government policy.</t>
  </si>
  <si>
    <t>--</t>
  </si>
  <si>
    <t>Residential Travel - External Environmental Cost</t>
  </si>
  <si>
    <t>Mashayekh, Yeganeh, Chris Hendrickson, and H. Scott Matthews, (2011),  The Role of Brownfield Developments in Reducing Household Vehicle Travel, ASCE J. of Urban Planning and Development (in review)</t>
  </si>
  <si>
    <t>Walkscore (2011), http://www.walkscore.com/</t>
  </si>
  <si>
    <t>Value</t>
  </si>
  <si>
    <t>Unit</t>
  </si>
  <si>
    <t>Categories</t>
  </si>
  <si>
    <t>Reference Average Impact</t>
  </si>
  <si>
    <t>Residential Travel - Fuel</t>
  </si>
  <si>
    <r>
      <t>Impact</t>
    </r>
    <r>
      <rPr>
        <sz val="11"/>
        <rFont val="Calibri"/>
        <family val="2"/>
      </rPr>
      <t xml:space="preserve"> Categories</t>
    </r>
  </si>
  <si>
    <r>
      <t>Def</t>
    </r>
    <r>
      <rPr>
        <b/>
        <sz val="11"/>
        <rFont val="Calibri"/>
        <family val="2"/>
      </rPr>
      <t>ault</t>
    </r>
    <r>
      <rPr>
        <b/>
        <sz val="11"/>
        <rFont val="Calibri"/>
        <family val="2"/>
      </rPr>
      <t xml:space="preserve"> Values </t>
    </r>
  </si>
  <si>
    <t>Greenhouse gas emission from the natural gas consumed for building heating, cooking and etc. including the combustion emission and upstream emission from the natural gas production and pipeline operation processes</t>
  </si>
  <si>
    <t>Total annual expenditures of the categories above including water, electricity and natural gas per household</t>
  </si>
  <si>
    <t>Calculated as the sum of the three categories above</t>
  </si>
  <si>
    <r>
      <t xml:space="preserve">Annual </t>
    </r>
    <r>
      <rPr>
        <sz val="11"/>
        <rFont val="Calibri"/>
        <family val="2"/>
      </rPr>
      <t>e</t>
    </r>
    <r>
      <rPr>
        <sz val="11"/>
        <rFont val="Calibri"/>
        <family val="2"/>
      </rPr>
      <t>xpenditure of natural gas per household</t>
    </r>
  </si>
  <si>
    <r>
      <t>Ca</t>
    </r>
    <r>
      <rPr>
        <sz val="11"/>
        <rFont val="Calibri"/>
        <family val="2"/>
      </rPr>
      <t>l</t>
    </r>
    <r>
      <rPr>
        <sz val="11"/>
        <rFont val="Calibri"/>
        <family val="2"/>
      </rPr>
      <t>culated by formula: Number of Dwelling Units/Size</t>
    </r>
  </si>
  <si>
    <r>
      <t>Average population per h</t>
    </r>
    <r>
      <rPr>
        <sz val="11"/>
        <rFont val="Calibri"/>
        <family val="2"/>
      </rPr>
      <t>ou</t>
    </r>
    <r>
      <rPr>
        <sz val="11"/>
        <rFont val="Calibri"/>
        <family val="2"/>
      </rPr>
      <t>sehold of the site</t>
    </r>
  </si>
  <si>
    <t>Developer, municipal engineers and planning organizations</t>
  </si>
  <si>
    <r>
      <t>The number of household</t>
    </r>
    <r>
      <rPr>
        <sz val="11"/>
        <rFont val="Calibri"/>
        <family val="2"/>
      </rPr>
      <t>s</t>
    </r>
    <r>
      <rPr>
        <sz val="11"/>
        <rFont val="Calibri"/>
        <family val="2"/>
      </rPr>
      <t xml:space="preserve"> within the site</t>
    </r>
  </si>
  <si>
    <r>
      <t>The density of household</t>
    </r>
    <r>
      <rPr>
        <sz val="11"/>
        <rFont val="Calibri"/>
        <family val="2"/>
      </rPr>
      <t>s</t>
    </r>
    <r>
      <rPr>
        <sz val="11"/>
        <rFont val="Calibri"/>
        <family val="2"/>
      </rPr>
      <t xml:space="preserve"> of the site</t>
    </r>
  </si>
  <si>
    <t>THIS WORKSHEET/INFORMATION MIGHT NOT BE NECESSARY FOR USERS OF THIS TOOL.  (USERS BEING MUNICIPAL FOLKS, PRIMARILY)</t>
  </si>
  <si>
    <t>Western Pennsylvania Brownfields Center (http://www.cmu.edu/steinbrenner/brownfields/)</t>
  </si>
  <si>
    <t>1. Brownfield Vs. Greenfield Comparison Tool - Instructions</t>
  </si>
  <si>
    <t>2. Brownfield Impact</t>
  </si>
  <si>
    <t>3. Greenfield Impact</t>
  </si>
  <si>
    <t>II. Brownfield Savings Compared to Greenfield Development</t>
  </si>
  <si>
    <t>Percentage of Freeway</t>
  </si>
  <si>
    <t>Percentage of Arterial</t>
  </si>
  <si>
    <t>Residential Travel - Average Speed for Freeway</t>
  </si>
  <si>
    <t>Residential Travel - Average Speed for Arterial</t>
  </si>
  <si>
    <t>Residential Travel - Fuel Efficiency for Freeway</t>
  </si>
  <si>
    <t>Residential Travel - Fuel Efficiency for Arterial</t>
  </si>
  <si>
    <t>MJ/km</t>
  </si>
  <si>
    <t xml:space="preserve">Residential Travel - Fuel Energy </t>
  </si>
  <si>
    <t>MJ/Gallon</t>
  </si>
  <si>
    <t>Size</t>
  </si>
  <si>
    <t>acre</t>
  </si>
  <si>
    <t>Distance to City Center</t>
  </si>
  <si>
    <t>km</t>
  </si>
  <si>
    <t>HH/acre</t>
  </si>
  <si>
    <t>Persons/HH</t>
  </si>
  <si>
    <t>Walkability Index</t>
  </si>
  <si>
    <t>Remediation Cost</t>
  </si>
  <si>
    <t>$/acre</t>
  </si>
  <si>
    <t>Discount Rate</t>
  </si>
  <si>
    <t>Time Horizon</t>
  </si>
  <si>
    <t>Years</t>
  </si>
  <si>
    <t>$/person/year</t>
  </si>
  <si>
    <t xml:space="preserve">Annual Personal  VKT </t>
  </si>
  <si>
    <t>km/person/year</t>
  </si>
  <si>
    <t>Cost</t>
  </si>
  <si>
    <t>GHG Emissions</t>
  </si>
  <si>
    <t>kgCO2e/person/year</t>
  </si>
  <si>
    <t xml:space="preserve">Remediation </t>
  </si>
  <si>
    <t>kgCO2e/$</t>
  </si>
  <si>
    <t xml:space="preserve">Building Utility </t>
  </si>
  <si>
    <t>Maintenance</t>
  </si>
  <si>
    <t>Travel Time</t>
  </si>
  <si>
    <t>Total</t>
  </si>
  <si>
    <t>CMUGDI 2011</t>
  </si>
  <si>
    <t>$/km</t>
  </si>
  <si>
    <t>Terms</t>
  </si>
  <si>
    <t>Definition</t>
  </si>
  <si>
    <t>Walkscore 2011</t>
  </si>
  <si>
    <t>The area of the site</t>
  </si>
  <si>
    <t>Input Information</t>
  </si>
  <si>
    <t xml:space="preserve">The cost for site contamination cleanup and remediation </t>
  </si>
  <si>
    <t>The interest rate used in discounted cash flow analysis to determine the present value of future cash flows</t>
  </si>
  <si>
    <t>Electricity</t>
  </si>
  <si>
    <t>$/HH/year</t>
  </si>
  <si>
    <t>Water</t>
  </si>
  <si>
    <t>THIS WORKSHEET/INFORMATION MIGHT NOT BE NECESSARY FOR USERS OF THIS TOOL.  (USERS BEING MUNICIPAL FOLKS, PRIMARILY)</t>
  </si>
  <si>
    <t>A fixed point of time in the future at which point certain processes will be evaluated or assumed to end</t>
  </si>
  <si>
    <t>Google Maps 2011</t>
  </si>
  <si>
    <t>Remediation GHG Emission Factor</t>
  </si>
  <si>
    <t>Residential Travel - Time Cost Factor</t>
  </si>
  <si>
    <t>Residential Travel - Fuel GHG Emission Factor</t>
  </si>
  <si>
    <t>Residential Travel - External Cost Factor</t>
  </si>
  <si>
    <t>Basic</t>
  </si>
  <si>
    <t>Remediation</t>
  </si>
  <si>
    <t>Utility</t>
  </si>
  <si>
    <t>Travel</t>
  </si>
  <si>
    <t>Water Cost</t>
  </si>
  <si>
    <t>Natural Gas</t>
  </si>
  <si>
    <t xml:space="preserve">Impact Comparison </t>
  </si>
  <si>
    <t>Higher Bound</t>
  </si>
  <si>
    <t>Cost of Remediation</t>
  </si>
  <si>
    <t>Dsicount Rate</t>
  </si>
  <si>
    <t>Cost of Time</t>
  </si>
  <si>
    <t>Fuel Price</t>
  </si>
  <si>
    <t>Percentage of freeway</t>
  </si>
  <si>
    <t>$/gallon</t>
  </si>
  <si>
    <t>Reference Average</t>
  </si>
  <si>
    <t>Building Utility</t>
  </si>
  <si>
    <t>Factors</t>
  </si>
  <si>
    <t>$/HH/yr</t>
  </si>
  <si>
    <t>Brownfield Impact (kg CO2e/person/yr)</t>
  </si>
  <si>
    <t>Residential Travel - Environmental External Cost</t>
  </si>
  <si>
    <t xml:space="preserve">Brownfield Electricity </t>
  </si>
  <si>
    <t>Brownfield Natural Gas</t>
  </si>
  <si>
    <t>Greenfield Electricity</t>
  </si>
  <si>
    <t>Greenfield Natural Gas</t>
  </si>
  <si>
    <t>Based Aps best county value and worst county value</t>
  </si>
  <si>
    <t>Residential Travel - Externanl Environmental Cost</t>
  </si>
  <si>
    <t>Residential Travel - Fuel Price</t>
  </si>
  <si>
    <t>$/Gallon</t>
  </si>
  <si>
    <t>$/hr</t>
  </si>
  <si>
    <t>km/hr</t>
  </si>
  <si>
    <t>Average value of time</t>
  </si>
  <si>
    <t>Project Title:</t>
  </si>
  <si>
    <t>Project Sponsor/Contact Info:</t>
  </si>
  <si>
    <t>Prepared by:</t>
  </si>
  <si>
    <t>Development Density</t>
  </si>
  <si>
    <t>Objective</t>
  </si>
  <si>
    <t>Instructions</t>
  </si>
  <si>
    <t>Carnegie Mellon University</t>
  </si>
  <si>
    <t>Contact</t>
  </si>
  <si>
    <t>If you have any questions regarding the tool, please contact us</t>
  </si>
  <si>
    <t>Deborah Lange</t>
  </si>
  <si>
    <t>dlange@andrew.cmu.edu</t>
  </si>
  <si>
    <t>Reference Average Value</t>
  </si>
  <si>
    <t>II. Input Information</t>
  </si>
  <si>
    <t>I. General Project Information</t>
  </si>
  <si>
    <t>4. Impact Comparison</t>
  </si>
  <si>
    <t>I. Summary Tables</t>
  </si>
  <si>
    <t>Annual expenditure of tap water, drainage and etc.  per household</t>
  </si>
  <si>
    <t>Consumer Expenditure Survey 2009</t>
  </si>
  <si>
    <t>Data Source</t>
  </si>
  <si>
    <t>Texas Transportation Institute, Lomax, T. (2009). Urban Mobility Report.Texas Transportation Institute.</t>
  </si>
  <si>
    <t>Impact Calculations</t>
  </si>
  <si>
    <t>Greenhouse gas emission from the building maintenance process in terms of kgCO2e/$</t>
  </si>
  <si>
    <t xml:space="preserve">The average retail price of gasoline </t>
  </si>
  <si>
    <t>Residential Travel</t>
  </si>
  <si>
    <t>Brownfield Best Senario vs. Greenfield Worst Scenario</t>
  </si>
  <si>
    <t>Brownfield Worst Senario vs. Greenfield Best Scenario</t>
  </si>
  <si>
    <t>Brownfield</t>
  </si>
  <si>
    <t>Greenfield</t>
  </si>
  <si>
    <t>Cost Uncertainty</t>
  </si>
  <si>
    <t>($/person/yr)</t>
  </si>
  <si>
    <t>Fuel Cost</t>
  </si>
  <si>
    <t>External Environmental Cost</t>
  </si>
  <si>
    <t>Time Cost</t>
  </si>
  <si>
    <t>Impact Uncertainty</t>
  </si>
  <si>
    <t>Natural Gas Cost</t>
  </si>
  <si>
    <t>Maintenance Cost</t>
  </si>
  <si>
    <t>Electricity Cost</t>
  </si>
  <si>
    <t>Electricity GHG Emission Factor</t>
  </si>
  <si>
    <t>Natural Gas GHG Emission Factor</t>
  </si>
  <si>
    <t>Water GHG Emission Factor</t>
  </si>
  <si>
    <t>Maintenance GHG Emission Factor</t>
  </si>
  <si>
    <t>Remediation Cost = (Remediation Cost Per Acre) / (Development Density) / (Population Density Acre) / (Annuity Factor)            Annuity Factor = (1 - ( 1+ Discount Rate)^ (- Time Horizon)) / (Discount Rate)</t>
  </si>
  <si>
    <t>Remediation GHG Emissions = (Remediation Cost)* (Remediation GHG Emission Factor)</t>
  </si>
  <si>
    <t>Water GHG Emissions = (Water Cost) * (Water GHG Emission Factor)</t>
  </si>
  <si>
    <t>Eelectricity GHG Emissions = (Electricity Cost) * (Electricity GHG Emission Factor)</t>
  </si>
  <si>
    <t>Natural Gas GHG Emissions = (Natural Gas Cost) * (Natural Gas GHG Emission Factor)</t>
  </si>
  <si>
    <t>Maintenance Cost = (Maintenance Cost per Household per Year)/(Population Density)</t>
  </si>
  <si>
    <t>Maintenance GHG Emissions = (Maintenance Cost) * (Electricity GHG Emission Factor)</t>
  </si>
  <si>
    <t>Paulina Jaramillo, W. Michael Griffin, H. Scott Matthews, Comparative Life-Cycle Air Emissions of Coal, Domestic Natural Gas, LNG, and SNG for Electricity Generation, Environ. Sci. Technol. 2007, 41, 6290-6296</t>
  </si>
  <si>
    <t>Google (2011), ‘Google Maps,’ (http://maps.google.com/)</t>
  </si>
  <si>
    <t>Greenhouse gas emission from the water usage process in terms of kgCO2e/$</t>
  </si>
  <si>
    <t>Total GHG Emissions  = (Remediaton GHG Emissions) + (Building Utility GHG Emissions) + (Maintenance GHG Emissions) + (Fuel GHG Emissions)</t>
  </si>
  <si>
    <t>Greenhouse gas emission from the fuel combustion for the vehicle driving in terms of kgCO2e/km</t>
  </si>
  <si>
    <t>Average vehicle speed for freeway</t>
  </si>
  <si>
    <t>Average vehicle speed for arterial</t>
  </si>
  <si>
    <t>The energy content of gasoline in terms of MJ/Gallon</t>
  </si>
  <si>
    <t>The fuel energy efficiency at speed of 56km/hr in terms of MJ/km</t>
  </si>
  <si>
    <t>The fuel energy efficiency at speed of 97km/hr in terms of MJ/km</t>
  </si>
  <si>
    <t>The derived factor estimates the monetary values of mortality, morbidity, and environmental (e.g., crop loss, timber loss, materials depreciation, visibility, forest recreation) damages of  the pollutants from fuel combustion</t>
  </si>
  <si>
    <t>Sum of the three subcategories below</t>
  </si>
  <si>
    <t>Electricity Cost = (Electricity Cost per Household per Year)/(Population Density)</t>
  </si>
  <si>
    <t>Natural Gas Cost = (Natural Gas Cost per Household per Year)/(Population Density)</t>
  </si>
  <si>
    <t>Water Cost = (Water Cost per Household per Year)/(Population Density)</t>
  </si>
  <si>
    <t>The portion of VKT on the freeway to the total VKT</t>
  </si>
  <si>
    <t>Annual expenditure of electricity per household</t>
  </si>
  <si>
    <t>The portion of VKT of the arterial to the total VKT</t>
  </si>
  <si>
    <t>Annual expenditure of maintenance per household</t>
  </si>
  <si>
    <t>Fuel GHG Emissions = (Fuel GHG Emission Factor) * (Annual Persoanl VKT)</t>
  </si>
  <si>
    <t>Fuel Cost = Fuel Price * Annual Personal VKT *[ (Freeway Percentage *(Fuel Efficiency  for Freeway) +  (Arterial Percentage) * (Fuel Efficiency for Arterial)] / (Fuel Energy)</t>
  </si>
  <si>
    <t>External Environmental Cost = (Annual Persoanl VKT) * (External Environmental Cost Factor)</t>
  </si>
  <si>
    <t>Travel Time Cost = (Time Cost Factor) * (Annual Personal VKT) * [( Freeway Percentage) / (Average Speed for Freeway) + (Arterial Percentage) / (Average Speed for Arterial)]</t>
  </si>
  <si>
    <t>Total Cost  = (Remediaton Cost) + (Building Utility Cost) + (Maintenance Cost) + (Fuel Cost) + (External Environmental Cost) + (Travel Time Cost)</t>
  </si>
  <si>
    <t>Lower Bound</t>
  </si>
  <si>
    <t>Size (acre)</t>
  </si>
  <si>
    <t>Distance to City Center (km)</t>
  </si>
  <si>
    <t>Development Density (HH/acre)</t>
  </si>
  <si>
    <t xml:space="preserve">Number of Dwelling Units </t>
  </si>
  <si>
    <t>Remediation Cost ($/acre)</t>
  </si>
  <si>
    <t>Time Horizon (year)</t>
  </si>
  <si>
    <t>Water Cost ($/HH)</t>
  </si>
  <si>
    <t>Electricity Cost ($/HH)</t>
  </si>
  <si>
    <t>Natural Gas Cost ($/HH)</t>
  </si>
  <si>
    <t>Total Utility Cost ($/HH)</t>
  </si>
  <si>
    <t>Maintenance Cost ($/HH)</t>
  </si>
  <si>
    <t>Annual Personal  VKT (km/person/year)</t>
  </si>
  <si>
    <t>Suggested Sources to Find Input Information</t>
  </si>
  <si>
    <t>Jaramillo 2007</t>
  </si>
  <si>
    <r>
      <t>Fuel efficiency was determined with the U.S. EPA's Mobile 6.2 (MOBILE6) software (</t>
    </r>
    <r>
      <rPr>
        <b/>
        <sz val="11"/>
        <rFont val="Calibri"/>
        <family val="2"/>
      </rPr>
      <t>EPA 2003</t>
    </r>
    <r>
      <rPr>
        <sz val="11"/>
        <rFont val="Calibri"/>
        <family val="2"/>
      </rPr>
      <t>). MOBILE6 uses vehicle operation and fuel parameters to determine emissions from fuel combustion, evaoprative losses, brake wear and tire wear.</t>
    </r>
  </si>
  <si>
    <t>EPA 2003</t>
  </si>
  <si>
    <t>U.S. Environmental Protection Agency, 2003, MOBILE6 Vehicle Emission Modeling Software, http://www.epa.gov/otaq/m6.htm, Last accessed May 2010</t>
  </si>
  <si>
    <t>Committee on Health, Environmental, and Other External Costs and Benefits of Energy Production and Consumption; National Research Council, Hidden Cost of Energy: Unpriced Consequences of Energy Production and Use, National Academies Press. 2010</t>
  </si>
  <si>
    <t xml:space="preserve">Muller, N.Z., R.O. Mendelsohn. 2007. Measuring the Damages from Air Pollution in the U.S. Journal of Environmental Economics and Management. 54: 1-14. </t>
  </si>
  <si>
    <t>If user is in possession of a TDM model specific to the area in question, VKT values from the specific model can be used in place of the default values. Otherwise, use the average reference value.</t>
  </si>
  <si>
    <r>
      <rPr>
        <sz val="11"/>
        <rFont val="Calibri"/>
        <family val="2"/>
      </rPr>
      <t xml:space="preserve">It is an averaged value of arterial percentages specific to the cities of Chicago, Minneapolis, Baltimore and Pittsburgh, from </t>
    </r>
    <r>
      <rPr>
        <b/>
        <sz val="11"/>
        <rFont val="Calibri"/>
        <family val="2"/>
      </rPr>
      <t>TTI 2009</t>
    </r>
  </si>
  <si>
    <r>
      <t xml:space="preserve">Annual vehicle </t>
    </r>
    <r>
      <rPr>
        <sz val="11"/>
        <rFont val="Calibri"/>
        <family val="2"/>
      </rPr>
      <t>kilometer</t>
    </r>
    <r>
      <rPr>
        <sz val="11"/>
        <rFont val="Calibri"/>
        <family val="2"/>
      </rPr>
      <t xml:space="preserve"> traveled per person</t>
    </r>
  </si>
  <si>
    <t xml:space="preserve">MIT Energy Club, Units &amp; Conversion Fact Sheet </t>
  </si>
  <si>
    <t>Residential Travel - External Environmental Cost Factor</t>
  </si>
  <si>
    <t>Muller 2007</t>
  </si>
  <si>
    <t>NRC 2010</t>
  </si>
  <si>
    <t>http://www.mitenergyclub.org/assets/2008/11/15/Units_ConvFactors.MIT_EnergyClub_Factsheet.v8.pdf</t>
  </si>
  <si>
    <t>Terms</t>
  </si>
  <si>
    <r>
      <t>Sources for Aver</t>
    </r>
    <r>
      <rPr>
        <b/>
        <sz val="11"/>
        <rFont val="Calibri"/>
        <family val="2"/>
      </rPr>
      <t>a</t>
    </r>
    <r>
      <rPr>
        <b/>
        <sz val="11"/>
        <rFont val="Calibri"/>
        <family val="2"/>
      </rPr>
      <t>ge Reference Values</t>
    </r>
  </si>
  <si>
    <t>Developer, municipal engineers and planning organizations</t>
  </si>
  <si>
    <t>A</t>
  </si>
  <si>
    <t>B</t>
  </si>
  <si>
    <t>C</t>
  </si>
  <si>
    <t>D</t>
  </si>
  <si>
    <t>E</t>
  </si>
  <si>
    <t>F</t>
  </si>
  <si>
    <t>G</t>
  </si>
  <si>
    <t>H</t>
  </si>
  <si>
    <t>I</t>
  </si>
  <si>
    <t>J</t>
  </si>
  <si>
    <t>As noted above.</t>
  </si>
  <si>
    <t>K</t>
  </si>
  <si>
    <t>L</t>
  </si>
  <si>
    <t>M</t>
  </si>
  <si>
    <t>O</t>
  </si>
  <si>
    <t>P</t>
  </si>
  <si>
    <t>Q</t>
  </si>
  <si>
    <t>Residential Travel - External Environmental Cost</t>
  </si>
  <si>
    <t>%</t>
  </si>
  <si>
    <t>Generally estimated to be 30 years but you can use an alternate value if you wish.  But, be sure to use the same time horizon for both the brownfield and the greenfield.</t>
  </si>
  <si>
    <t>A time horizon generally used for infrastructure project.</t>
  </si>
  <si>
    <t>A discount generally used for project cost analysis.</t>
  </si>
  <si>
    <r>
      <t>Categories</t>
    </r>
    <r>
      <rPr>
        <b/>
        <sz val="12"/>
        <color indexed="8"/>
        <rFont val="Calibri"/>
        <family val="2"/>
      </rPr>
      <t xml:space="preserve"> (please refer to the 'Glossary' worksheet for definitions as well as suggestions for data sources)</t>
    </r>
  </si>
  <si>
    <t>Categories (please refer to the 'Glossary' worksheet for definitions as well as suggestions for data sources)</t>
  </si>
  <si>
    <t>Greenhouse gas emission from electricity usage in terms of kgCO2e/$</t>
  </si>
  <si>
    <t>Residential Travel - External Environmental Cost</t>
  </si>
  <si>
    <t>Nagengast 2011</t>
  </si>
  <si>
    <t>Hendrickson 2011</t>
  </si>
  <si>
    <r>
      <t xml:space="preserve">It is an average value of VKTs from the actual Travel Demanad Management models obtained from the four cities of Chicago, Minneapolis, Baltimore and Pittsburgh, </t>
    </r>
    <r>
      <rPr>
        <b/>
        <sz val="11"/>
        <rFont val="Calibri"/>
        <family val="2"/>
      </rPr>
      <t>Mashayekh 2011</t>
    </r>
  </si>
  <si>
    <r>
      <t>EIOLCA Data,</t>
    </r>
    <r>
      <rPr>
        <b/>
        <sz val="11"/>
        <rFont val="Calibri"/>
        <family val="2"/>
      </rPr>
      <t xml:space="preserve"> CMUGDI 2011</t>
    </r>
    <r>
      <rPr>
        <sz val="11"/>
        <rFont val="Calibri"/>
        <family val="2"/>
      </rPr>
      <t xml:space="preserve"> - go to website  http://www.eiolca.net/, click "Use the Tool", select "2002 (428) model" Producer price, choose Sector "other nonresidential construction", and use "greenhouse gases" as results to display, then run the model to get the factor , </t>
    </r>
  </si>
  <si>
    <r>
      <t>The fuel GHG emission factor for fuel combustion is calculated as following: [Factor = (Average Annual GHG Emissions for Travel) / (Average Annual VKT Home Based Trips)],  All the GHG emissions specific to the siteswere calculated using the EPA's Mobile 6.2</t>
    </r>
    <r>
      <rPr>
        <sz val="11"/>
        <rFont val="Calibri"/>
        <family val="2"/>
      </rPr>
      <t xml:space="preserve"> </t>
    </r>
    <r>
      <rPr>
        <sz val="11"/>
        <rFont val="Calibri"/>
        <family val="2"/>
      </rPr>
      <t xml:space="preserve">(MOBILE6), </t>
    </r>
    <r>
      <rPr>
        <b/>
        <sz val="11"/>
        <rFont val="Calibri"/>
        <family val="2"/>
      </rPr>
      <t>EPA2003</t>
    </r>
  </si>
  <si>
    <t>N/A</t>
  </si>
  <si>
    <t>--</t>
  </si>
  <si>
    <t>Household Size</t>
  </si>
  <si>
    <t>Household Size (person/HH)</t>
  </si>
  <si>
    <r>
      <t xml:space="preserve">Texas Transportation Institute's Urban Mobility Report </t>
    </r>
    <r>
      <rPr>
        <sz val="11"/>
        <rFont val="Calibri"/>
        <family val="2"/>
      </rPr>
      <t>provides arterial and freeway VKT for all metropolitan areas in the US. Percent freeway of VKT for any specific metropolitan area as well as the national average can be obtained from their report at http://mobility.tamu.edu/ums/report/</t>
    </r>
  </si>
  <si>
    <r>
      <t>Texas Transportation Institute's Urban Mobility Report</t>
    </r>
    <r>
      <rPr>
        <sz val="11"/>
        <rFont val="Calibri"/>
        <family val="2"/>
      </rPr>
      <t xml:space="preserve"> provides arterial and freeway VKT for all metropolitan areas in the US. Percent arterial of VKT for any specific metropolitan area as well as the national average can be obtained from their report at http://mobility.tamu.edu/ums/report/</t>
    </r>
  </si>
  <si>
    <r>
      <t>Driving distance between the site and  the city center</t>
    </r>
    <r>
      <rPr>
        <sz val="11"/>
        <rFont val="Calibri"/>
        <family val="2"/>
      </rPr>
      <t>. The city is considered to neares city.</t>
    </r>
    <r>
      <rPr>
        <sz val="11"/>
        <color indexed="10"/>
        <rFont val="Calibri"/>
        <family val="2"/>
      </rPr>
      <t xml:space="preserve"> </t>
    </r>
  </si>
  <si>
    <r>
      <t>Pick a same city for comparison of the browfield and greenfield, and use</t>
    </r>
    <r>
      <rPr>
        <b/>
        <sz val="11"/>
        <rFont val="Calibri"/>
        <family val="2"/>
      </rPr>
      <t xml:space="preserve"> Google Maps 2011</t>
    </r>
    <r>
      <rPr>
        <sz val="11"/>
        <rFont val="Calibri"/>
        <family val="2"/>
      </rPr>
      <t xml:space="preserve"> - Use Google Maps directions and select the roadway distances with the shortest travel time</t>
    </r>
    <r>
      <rPr>
        <sz val="11"/>
        <rFont val="Calibri"/>
        <family val="2"/>
      </rPr>
      <t>.</t>
    </r>
  </si>
  <si>
    <t>http://www.bls.gov/cex/2010/Standard/tenure.pdf</t>
  </si>
  <si>
    <r>
      <rPr>
        <sz val="11"/>
        <rFont val="Calibri"/>
        <family val="2"/>
      </rPr>
      <t>Default is a</t>
    </r>
    <r>
      <rPr>
        <sz val="11"/>
        <rFont val="Calibri"/>
        <family val="2"/>
      </rPr>
      <t xml:space="preserve"> value of freeway percentages specific to the cities of Chicago, Minneapolis, Baltimore and Pittsburgh, from </t>
    </r>
    <r>
      <rPr>
        <b/>
        <sz val="11"/>
        <rFont val="Calibri"/>
        <family val="2"/>
      </rPr>
      <t>TTI 2009</t>
    </r>
  </si>
  <si>
    <r>
      <t xml:space="preserve">The reference value of size is an averaged size based on the sizes </t>
    </r>
    <r>
      <rPr>
        <sz val="11"/>
        <rFont val="Calibri"/>
        <family val="2"/>
      </rPr>
      <t xml:space="preserve">specific to the 8 sites in 4 cities of Chicago, Minneapolis, Baltimore and Pittsburgh, which were obtained from from  developers, municipal engineers and planning organizations </t>
    </r>
  </si>
  <si>
    <r>
      <rPr>
        <sz val="11"/>
        <rFont val="Calibri"/>
        <family val="2"/>
      </rPr>
      <t>The reference value of distance to city center is an average value based on the distances specific to 12 sites in 6 cities</t>
    </r>
    <r>
      <rPr>
        <sz val="11"/>
        <rFont val="Calibri"/>
        <family val="2"/>
      </rPr>
      <t xml:space="preserve"> (Pittsburgh, PA, Baltimore, MD, Minneapolis, MN, Chicago, IL, Milwaukee, WI, and St. Louis, MO) studied in </t>
    </r>
    <r>
      <rPr>
        <b/>
        <sz val="11"/>
        <rFont val="Calibri"/>
        <family val="2"/>
      </rPr>
      <t>Nagengast 2011</t>
    </r>
    <r>
      <rPr>
        <sz val="11"/>
        <rFont val="Calibri"/>
        <family val="2"/>
      </rPr>
      <t xml:space="preserve"> , which were obtained from Google Maps directions and selected roadway distances with the shortest travel time)</t>
    </r>
  </si>
  <si>
    <t xml:space="preserve">Development Density </t>
  </si>
  <si>
    <t>Number of Households</t>
  </si>
  <si>
    <t>Reference Values</t>
  </si>
  <si>
    <t>Your Site</t>
  </si>
  <si>
    <t>Units</t>
  </si>
  <si>
    <t>Brownfield Name:</t>
  </si>
  <si>
    <t>Brownfield Address:</t>
  </si>
  <si>
    <t>Construction</t>
  </si>
  <si>
    <t>Infrastructure</t>
  </si>
  <si>
    <t>Housing</t>
  </si>
  <si>
    <t xml:space="preserve">Total Utility Cost </t>
  </si>
  <si>
    <t>Calculated</t>
  </si>
  <si>
    <t>Typical value - can change</t>
  </si>
  <si>
    <t>Infrastructure GHG Emission Factor</t>
  </si>
  <si>
    <t>Housing Construction GHG Emission Factor</t>
  </si>
  <si>
    <t>A - CMUGDI 2011</t>
  </si>
  <si>
    <t>References (see 'Reference' worksheet)</t>
  </si>
  <si>
    <t>E - EPA 2003</t>
  </si>
  <si>
    <t xml:space="preserve">J - MIT Energy Club, Units and Conversions Fact Sheet </t>
  </si>
  <si>
    <t>M - TTI 2009</t>
  </si>
  <si>
    <t xml:space="preserve">B -  Consumer Expenditure Survey, 2009 </t>
  </si>
  <si>
    <t>B -  Consumer Expenditure Survey, 2009</t>
  </si>
  <si>
    <t>Number of Huoseholds</t>
  </si>
  <si>
    <t>Greenfield Address:</t>
  </si>
  <si>
    <r>
      <t>IV. Brownfield Impact</t>
    </r>
    <r>
      <rPr>
        <b/>
        <i/>
        <sz val="11"/>
        <color indexed="8"/>
        <rFont val="Calibri"/>
        <family val="2"/>
      </rPr>
      <t xml:space="preserve"> (final result of Sections II and III above</t>
    </r>
    <r>
      <rPr>
        <b/>
        <sz val="11"/>
        <color indexed="8"/>
        <rFont val="Calibri"/>
        <family val="2"/>
      </rPr>
      <t>)</t>
    </r>
  </si>
  <si>
    <r>
      <t>IV. Greenfield Impact</t>
    </r>
    <r>
      <rPr>
        <b/>
        <i/>
        <sz val="11"/>
        <color indexed="8"/>
        <rFont val="Calibri"/>
        <family val="2"/>
      </rPr>
      <t xml:space="preserve"> (final result of Sections II and III above</t>
    </r>
    <r>
      <rPr>
        <b/>
        <sz val="11"/>
        <color indexed="8"/>
        <rFont val="Calibri"/>
        <family val="2"/>
      </rPr>
      <t>)</t>
    </r>
  </si>
  <si>
    <t>%</t>
  </si>
  <si>
    <t>Residential Travel - External Environmental Cost</t>
  </si>
  <si>
    <t xml:space="preserve">The following table summarizes the GHG emission for the greenfield that you specified about in Section I.  Note that the values have been normalized on a 'per person-year' based on the discount rate and time horizon that you noted above in Section II.  </t>
  </si>
  <si>
    <t xml:space="preserve">The following table summarizes the GHG emissions for the brownfield that you specified in Section I.  Note that the values have been normalized on a 'per person-year' based on the discount rate and time horizon that you noted above in Section II. </t>
  </si>
  <si>
    <t>III. Default Values (based on our Reference values)</t>
  </si>
  <si>
    <t>$/square foot</t>
  </si>
  <si>
    <t>Living space</t>
  </si>
  <si>
    <t>square feet</t>
  </si>
  <si>
    <t>gallons per person-year</t>
  </si>
  <si>
    <r>
      <t xml:space="preserve">E. </t>
    </r>
    <r>
      <rPr>
        <sz val="11"/>
        <color theme="1"/>
        <rFont val="Calibri"/>
        <family val="2"/>
      </rPr>
      <t xml:space="preserve"> Continue onto the "Tab 4: Impact Comparison." This page shows the results for the brownfield and greenfield comparison. At the top, summary tables (Section I) are created from the values  inputed in the previous steps. The final comparison table of Brownfields and Greenfields is located in Section II. This table shows the savings from developing a brownfield over a greenfield
</t>
    </r>
    <r>
      <rPr>
        <u val="single"/>
        <sz val="11"/>
        <color indexed="8"/>
        <rFont val="Calibri"/>
        <family val="2"/>
      </rPr>
      <t>Note:</t>
    </r>
    <r>
      <rPr>
        <sz val="11"/>
        <color theme="1"/>
        <rFont val="Calibri"/>
        <family val="2"/>
      </rPr>
      <t xml:space="preserve"> Do not attempt to change any values on the "Tab 4: Impact Comparison" sheet. If you would like to change a value, do so under the " Tab 2: Brownfield Impact" or  "Tab 3: Greenfield Impact." </t>
    </r>
  </si>
  <si>
    <r>
      <t xml:space="preserve">F.  </t>
    </r>
    <r>
      <rPr>
        <sz val="11"/>
        <color theme="1"/>
        <rFont val="Calibri"/>
        <family val="2"/>
      </rPr>
      <t>The "Tab 5: Scenarios" presents the ranges of reference average impact savings based on the worst and best cases (for use by Carnegie Mellon Researchers only)</t>
    </r>
  </si>
  <si>
    <r>
      <t xml:space="preserve">G. </t>
    </r>
    <r>
      <rPr>
        <sz val="11"/>
        <color theme="1"/>
        <rFont val="Calibri"/>
        <family val="2"/>
      </rPr>
      <t>The "Tab 6. Uncertainty" presents the low and up bounds for the reference average values from the preivious research (for use by Carnegie Mellon Researchers only)</t>
    </r>
  </si>
  <si>
    <r>
      <t>H.</t>
    </r>
    <r>
      <rPr>
        <sz val="11"/>
        <color theme="1"/>
        <rFont val="Calibri"/>
        <family val="2"/>
      </rPr>
      <t xml:space="preserve"> Lastly, "Tab 7: Glossary" and "Tab 8: References" provide supporting information -- if you would like to learn more about  the sources of the calculations for this.  If you do not know the definition or how to calculate a term from the tool, refer to the 'Tab 7: Glossary' and then the 'Tab 8: Reference.' </t>
    </r>
  </si>
  <si>
    <t>Before you begin …..</t>
  </si>
  <si>
    <t>kgCO2e/person/year is equivalent to:</t>
  </si>
  <si>
    <t>IN OTHER TERMS, a brownfield savings of</t>
  </si>
  <si>
    <t>WALKABILITY SCORE</t>
  </si>
  <si>
    <r>
      <t>Brownfield Impact</t>
    </r>
    <r>
      <rPr>
        <b/>
        <i/>
        <sz val="16"/>
        <color indexed="8"/>
        <rFont val="Calibri"/>
        <family val="2"/>
      </rPr>
      <t xml:space="preserve"> </t>
    </r>
    <r>
      <rPr>
        <b/>
        <i/>
        <sz val="11"/>
        <color indexed="8"/>
        <rFont val="Calibri"/>
        <family val="2"/>
      </rPr>
      <t>(same Table IV as found on "Tab 2: Brownfield Impact")</t>
    </r>
  </si>
  <si>
    <r>
      <t>Greenfield Impact</t>
    </r>
    <r>
      <rPr>
        <b/>
        <i/>
        <sz val="11"/>
        <color indexed="8"/>
        <rFont val="Calibri"/>
        <family val="2"/>
      </rPr>
      <t xml:space="preserve"> (same Table IV as found on  "Tab 3: Greenfield Impact")</t>
    </r>
  </si>
  <si>
    <r>
      <t>For Section II in "Tab 2:  Brownfield Impact " and "Tab 3: Greenfield Impact"</t>
    </r>
    <r>
      <rPr>
        <b/>
        <i/>
        <sz val="11"/>
        <rFont val="Calibri"/>
        <family val="2"/>
      </rPr>
      <t xml:space="preserve"> worksheet</t>
    </r>
  </si>
  <si>
    <r>
      <t>Walkability Index</t>
    </r>
  </si>
  <si>
    <t>This is based on census 2010 data for the counties that each of the sites are located in. http://quickfacts.census.gov/qfd/states/42/42003.html</t>
  </si>
  <si>
    <t>Census Data- http://quickfacts.census.gov/qfd/states/42/42003.html</t>
  </si>
  <si>
    <t>Hoehner 2005</t>
  </si>
  <si>
    <t>2012 National Average Value</t>
  </si>
  <si>
    <r>
      <t xml:space="preserve"> Hoehner, C.M., Brennan Ramirez, L.K., Elliott, M.B., Handy, S.L., and Brownson, R.C. (2005).Perceived and objective environmental measures and physical activity among urban adults.</t>
    </r>
    <r>
      <rPr>
        <b/>
        <i/>
        <sz val="12"/>
        <rFont val="Calibri"/>
        <family val="2"/>
      </rPr>
      <t>American journal of preventive medicine.</t>
    </r>
    <r>
      <rPr>
        <b/>
        <sz val="12"/>
        <rFont val="Calibri"/>
        <family val="2"/>
      </rPr>
      <t xml:space="preserve"> 28(2), pp. 105-116. DOI: 10.1016/j.amepre.2004.10.023</t>
    </r>
  </si>
  <si>
    <t>6. Uncertainty Analysis</t>
  </si>
  <si>
    <t>Last Updated: August 2012</t>
  </si>
  <si>
    <t>O - Hoehner 2005; Visit www.walkscore.com to get the walkability Index of your site.</t>
  </si>
  <si>
    <t>N</t>
  </si>
  <si>
    <t>RS means 2012</t>
  </si>
  <si>
    <t xml:space="preserve"> RS Means Square Foot Costs 2012 </t>
  </si>
  <si>
    <t>N - RS means 2012</t>
  </si>
  <si>
    <t>Reference value was calculated based off the following information-Average 2,000 s.f.,two story, detached, wood wall house with unfinished basement</t>
  </si>
  <si>
    <t>HH</t>
  </si>
  <si>
    <t>R</t>
  </si>
  <si>
    <t>Najafi 2006  Najafi, Mohammad; Mohamed, Rayman; Tayebi, Abdelkader; Adelaja, Soji; Lake, Mary Beth; Gottlieb, Paul; Rustem, William. (2006) The Fiscal Impacts of Alternative Single Family Housing Densities: Infrastructure Costs. MSU Land Policy Institute Report #2006-2</t>
  </si>
  <si>
    <t>Najafi 2006</t>
  </si>
  <si>
    <t xml:space="preserve">This study used a sample of sixteen residential developments in Michigan, estimated the required physical infrastructure investments and used RS Means cost figures to estimate costs </t>
  </si>
  <si>
    <t>R - Najafi 2006</t>
  </si>
  <si>
    <t>B -  Consumer Expenditure Survey, 2009 (average value); D - Residential Expenditure Survey 2005 (range values)</t>
  </si>
  <si>
    <t>EIA RECS 2005</t>
  </si>
  <si>
    <t>EIA, 2005, Residential Energy Consumption Survey (RECS) Public Use Microdata Files (http://www.eia.gov/emeu/recs/recspubuse05/pubuse05.html#flags)</t>
  </si>
  <si>
    <t>equals</t>
  </si>
  <si>
    <t>EPA 2011</t>
  </si>
  <si>
    <t>EPA Greenhouse Gas Equivalencies Calculator (http://www.epa.gov/cleanenergy/energy-resources/calculator.html#results)</t>
  </si>
  <si>
    <t>The GHG Calculator converts emissions into other units such as gallsons of gasoline, kWh of electricity,  therms of natural gas etc.</t>
  </si>
  <si>
    <t>kg CO2e per gallon of gasoline (F - EPA 2011)</t>
  </si>
  <si>
    <t>S</t>
  </si>
  <si>
    <t>RITA 2011</t>
  </si>
  <si>
    <t>Bureau of Transportation Statistics- Table 4-23 "Average Fuel Efficiency of U.S.  Light Duty Vehicles</t>
  </si>
  <si>
    <t>Average Passenger car 2011 -  http://www.bts.gov/publications/national_transportation_statistics/html/table_04_23.html</t>
  </si>
  <si>
    <t>miles per year (based on 33.4 miles/gallon) (S - RITA 2011</t>
  </si>
  <si>
    <t>Amy Nagengast; Chris Hendrickson, Hon.M.ASCE; and Deborah Lange, M.ASCE, Commuting from U.S. Brownfield and Greenfield Residential Development Neighborhoods, Journal of Urban Planning and Development, 2011:298-304</t>
  </si>
  <si>
    <t>Mashayekh 2012</t>
  </si>
  <si>
    <r>
      <t xml:space="preserve">This worksheet allows for the estimation of greenhouse gas emissions associated with the remediation and 'use' of a brownfield to be used for housing.  Please use this section of the tool to input information (in the </t>
    </r>
    <r>
      <rPr>
        <b/>
        <sz val="12"/>
        <color indexed="19"/>
        <rFont val="Calibri"/>
        <family val="2"/>
      </rPr>
      <t>brown</t>
    </r>
    <r>
      <rPr>
        <sz val="12"/>
        <color indexed="8"/>
        <rFont val="Calibri"/>
        <family val="2"/>
      </rPr>
      <t xml:space="preserve"> shaded boxes) about the brownfield that you would like to compare to a greenfield. In Section I, please input general information about the project so that you can identify the project in the future.  In Section II, please add basic, remediation, construction, utility, maintenance, and travel  information about the site in 2012 dollars.You will have to get this information from someone, such as the developer or the municipal engineer, who has specific knowledge of the brownfield.  The values that you input should be within the range of the referenced values which are in 2012 dollars, if not, please let us know!  We also ask you to calcualte the 'Walkabilty' index as another indicator of the 'sustainability' of your site.   Only Sections I and II on this sheet require input from you.  The spreadsheet will do the work and you will see the results below in the table titled 'Brownfield Impact.'</t>
    </r>
  </si>
  <si>
    <r>
      <t xml:space="preserve">These 'default' values in </t>
    </r>
    <r>
      <rPr>
        <b/>
        <sz val="11"/>
        <color indexed="10"/>
        <rFont val="Calibri"/>
        <family val="2"/>
      </rPr>
      <t xml:space="preserve">red </t>
    </r>
    <r>
      <rPr>
        <sz val="11"/>
        <color theme="1"/>
        <rFont val="Calibri"/>
        <family val="2"/>
      </rPr>
      <t>are provided for your information and wil be used to calculate the green house gas emissions associated with site remediation and behavior (utility consumption and travel) of the site residents.  There is no need for you to change these values unless you have information that suggests that the 'default values' for your geographic area should be different.  If this is the case, please let us know!</t>
    </r>
    <r>
      <rPr>
        <sz val="11"/>
        <color indexed="36"/>
        <rFont val="Calibri"/>
        <family val="2"/>
      </rPr>
      <t xml:space="preserve"> </t>
    </r>
    <r>
      <rPr>
        <sz val="11"/>
        <rFont val="Calibri"/>
        <family val="2"/>
      </rPr>
      <t>For further understanding these values, please refer to the</t>
    </r>
    <r>
      <rPr>
        <sz val="11"/>
        <rFont val="Calibri"/>
        <family val="2"/>
      </rPr>
      <t xml:space="preserve"> 'Glossary' </t>
    </r>
    <r>
      <rPr>
        <sz val="11"/>
        <rFont val="Calibri"/>
        <family val="2"/>
      </rPr>
      <t xml:space="preserve">worksheet. </t>
    </r>
  </si>
  <si>
    <r>
      <rPr>
        <b/>
        <sz val="11"/>
        <rFont val="Calibri"/>
        <family val="2"/>
      </rPr>
      <t xml:space="preserve">Google Maps 2011 - </t>
    </r>
    <r>
      <rPr>
        <sz val="11"/>
        <rFont val="Calibri"/>
        <family val="2"/>
      </rPr>
      <t>Within the for the site, Google maps display the development location, and the corresponding census tracts used for analysis; or</t>
    </r>
    <r>
      <rPr>
        <b/>
        <sz val="11"/>
        <rFont val="Calibri"/>
        <family val="2"/>
      </rPr>
      <t xml:space="preserve"> </t>
    </r>
    <r>
      <rPr>
        <sz val="11"/>
        <rFont val="Calibri"/>
        <family val="2"/>
      </rPr>
      <t>collect</t>
    </r>
    <r>
      <rPr>
        <b/>
        <sz val="11"/>
        <rFont val="Calibri"/>
        <family val="2"/>
      </rPr>
      <t xml:space="preserve"> </t>
    </r>
    <r>
      <rPr>
        <sz val="11"/>
        <rFont val="Calibri"/>
        <family val="2"/>
      </rPr>
      <t>specific information from developers and planning organizations</t>
    </r>
  </si>
  <si>
    <r>
      <t>The reference value of number of dwelling units is an averaged value based on data</t>
    </r>
    <r>
      <rPr>
        <sz val="11"/>
        <color indexed="8"/>
        <rFont val="Calibri"/>
        <family val="2"/>
      </rPr>
      <t xml:space="preserve"> from</t>
    </r>
    <r>
      <rPr>
        <sz val="11"/>
        <color indexed="10"/>
        <rFont val="Calibri"/>
        <family val="2"/>
      </rPr>
      <t xml:space="preserve"> </t>
    </r>
    <r>
      <rPr>
        <sz val="11"/>
        <color indexed="8"/>
        <rFont val="Calibri"/>
        <family val="2"/>
      </rPr>
      <t>8 sites in 4 cities of Chicago, Minneapolis, Baltimore and Pittsburgh</t>
    </r>
    <r>
      <rPr>
        <sz val="11"/>
        <rFont val="Calibri"/>
        <family val="2"/>
      </rPr>
      <t xml:space="preserve"> which were obtained from  developers and planning organizations.</t>
    </r>
  </si>
  <si>
    <r>
      <rPr>
        <sz val="11"/>
        <rFont val="Calibri"/>
        <family val="2"/>
      </rPr>
      <t xml:space="preserve">It is an averaged vavlue of walkscores from </t>
    </r>
    <r>
      <rPr>
        <b/>
        <sz val="11"/>
        <rFont val="Calibri"/>
        <family val="2"/>
      </rPr>
      <t>Walkscore 2011</t>
    </r>
    <r>
      <rPr>
        <sz val="11"/>
        <rFont val="Calibri"/>
        <family val="2"/>
      </rPr>
      <t xml:space="preserve">, specific to 12 sites in 6 cities (Pittsburgh, PA, Baltimore, MD, Minneapolis, MN, Chicago, IL, Milwaukee, WI, and St. Louis, MO). </t>
    </r>
    <r>
      <rPr>
        <sz val="11"/>
        <color indexed="8"/>
        <rFont val="Calibri"/>
        <family val="2"/>
      </rPr>
      <t>The actual citation is Hoehner 2005.</t>
    </r>
  </si>
  <si>
    <r>
      <t xml:space="preserve">Reference value of remediation cost is based on  the remediaotion costs from multiple studies and references used in </t>
    </r>
    <r>
      <rPr>
        <b/>
        <sz val="11"/>
        <rFont val="Calibri"/>
        <family val="2"/>
      </rPr>
      <t>Mashayekh 2012</t>
    </r>
  </si>
  <si>
    <r>
      <t>Developer, municipal engineers, planning organizations,</t>
    </r>
    <r>
      <rPr>
        <b/>
        <sz val="11"/>
        <color indexed="10"/>
        <rFont val="Calibri"/>
        <family val="2"/>
      </rPr>
      <t xml:space="preserve"> </t>
    </r>
    <r>
      <rPr>
        <sz val="11"/>
        <color indexed="8"/>
        <rFont val="Calibri"/>
        <family val="2"/>
      </rPr>
      <t>and real estate broker</t>
    </r>
  </si>
  <si>
    <t>T</t>
  </si>
  <si>
    <r>
      <t>Greenhouse gas ( Carbon Doxide, Methane, Nitrous Oxide and etc.) emission from brownfield remediatio</t>
    </r>
    <r>
      <rPr>
        <sz val="11"/>
        <rFont val="Calibri"/>
        <family val="2"/>
      </rPr>
      <t xml:space="preserve"> efforts </t>
    </r>
    <r>
      <rPr>
        <sz val="11"/>
        <rFont val="Calibri"/>
        <family val="2"/>
      </rPr>
      <t xml:space="preserve"> in terms of kgCO2e/$</t>
    </r>
  </si>
  <si>
    <r>
      <t>The calculation of external environmental costs  from residentail reaveling is as follows:                                                                                   [Factor = (Average Annual Environmental Costs) / (Average Annual VKT Home Based Trips)]  All environmental costs were calculated using the</t>
    </r>
    <r>
      <rPr>
        <b/>
        <sz val="11"/>
        <rFont val="Calibri"/>
        <family val="2"/>
      </rPr>
      <t xml:space="preserve"> </t>
    </r>
    <r>
      <rPr>
        <sz val="11"/>
        <rFont val="Calibri"/>
        <family val="2"/>
      </rPr>
      <t>APEEP (Air Pollution Emission Experiments and Policy) analysis model. APEEP is designed to calculate the marginal human health and environmental damages corresponding to emissions.  (</t>
    </r>
    <r>
      <rPr>
        <b/>
        <sz val="11"/>
        <rFont val="Calibri"/>
        <family val="2"/>
      </rPr>
      <t>Muller 2007, NRC 2010</t>
    </r>
    <r>
      <rPr>
        <sz val="11"/>
        <rFont val="Calibri"/>
        <family val="2"/>
      </rPr>
      <t xml:space="preserve">)                             </t>
    </r>
  </si>
  <si>
    <r>
      <t xml:space="preserve">Assumed price in </t>
    </r>
    <r>
      <rPr>
        <b/>
        <sz val="11"/>
        <rFont val="Calibri"/>
        <family val="2"/>
      </rPr>
      <t>Mashayekh 2012</t>
    </r>
  </si>
  <si>
    <t>Natural Gas Price</t>
  </si>
  <si>
    <t xml:space="preserve">Electricity Price </t>
  </si>
  <si>
    <t>$/thousand cu. Ft</t>
  </si>
  <si>
    <t>U</t>
  </si>
  <si>
    <t>US Energy Information Administration Natural Gas Price delivered to Residential Consumers</t>
  </si>
  <si>
    <t>May 2012 is used for a the default price http://www.eia.gov/dnav/ng/hist/n3010us3M.htm</t>
  </si>
  <si>
    <t>EIA 2012b</t>
  </si>
  <si>
    <t>H - Jaramillo 2007; U - EIA 2012b</t>
  </si>
  <si>
    <t>EIA 2012a</t>
  </si>
  <si>
    <t>U.S. Energy Information Administration, Electricity -Revenue from Retail Sales of Electricity to Ultimate Customers:</t>
  </si>
  <si>
    <t>This website contains historic energy data on  electric power plants, capacity, generation, fuel consumption, sales, prices and customers</t>
  </si>
  <si>
    <t>C- EIA 2012a</t>
  </si>
  <si>
    <t>U- EIA 2012b</t>
  </si>
  <si>
    <t>Electricity Price</t>
  </si>
  <si>
    <t>The national average residential retail price of electricity in May 2012</t>
  </si>
  <si>
    <t>The national average residential retail price of natural gas in May 2012</t>
  </si>
  <si>
    <t>$/kWh</t>
  </si>
  <si>
    <t xml:space="preserve"> EPA Egridweb National Average for 2005 (version 1.1)  (http://cfpub.epa.gov/egridweb/view_us.cfm)</t>
  </si>
  <si>
    <t>EPA eGRID 2005</t>
  </si>
  <si>
    <t>T - EPA eGRID 2005</t>
  </si>
  <si>
    <t>Greenhouse gas emission from the infrastructure in terms of kgCO2e/$</t>
  </si>
  <si>
    <t>Greenhouse gas emission from the housing construction in terms of kgCO2e/$</t>
  </si>
  <si>
    <r>
      <t xml:space="preserve">EIOLCA Data, </t>
    </r>
    <r>
      <rPr>
        <b/>
        <sz val="11"/>
        <rFont val="Calibri"/>
        <family val="2"/>
      </rPr>
      <t>CMUGDI 2011</t>
    </r>
    <r>
      <rPr>
        <sz val="11"/>
        <rFont val="Calibri"/>
        <family val="2"/>
      </rPr>
      <t xml:space="preserve"> - Use the Sector  "Water, sewage and other systems" to run the model</t>
    </r>
  </si>
  <si>
    <r>
      <t xml:space="preserve">EIOLCA Data, </t>
    </r>
    <r>
      <rPr>
        <b/>
        <sz val="11"/>
        <rFont val="Calibri"/>
        <family val="2"/>
      </rPr>
      <t>CMUGDI 2011</t>
    </r>
    <r>
      <rPr>
        <sz val="11"/>
        <rFont val="Calibri"/>
        <family val="2"/>
      </rPr>
      <t xml:space="preserve"> - Use the Sector "Residential maintenance and repair" to run the model</t>
    </r>
  </si>
  <si>
    <r>
      <t xml:space="preserve">EIOLCA Data, </t>
    </r>
    <r>
      <rPr>
        <b/>
        <sz val="11"/>
        <rFont val="Calibri"/>
        <family val="2"/>
      </rPr>
      <t>CMUGDI 2011</t>
    </r>
    <r>
      <rPr>
        <sz val="11"/>
        <rFont val="Calibri"/>
        <family val="2"/>
      </rPr>
      <t xml:space="preserve"> - Use the Sector "Residential permanent site single- and multi-family structures" to run the model</t>
    </r>
  </si>
  <si>
    <t>In this Worksheet, we will compare the impacts of your brownfield ('Brownfield Impact' Worksheet) and greenfield ('Greenfield Impact' Worksheet) of interest.  Note that we have assumed (right or wrong!) that your brownfield development will be more environmentally friendly that your gerenfield development, therefore, the results (in Table II below) are presented in terms of 'brownfield savings.')  If the Total value in Table II is 'negative,' then infact it is the greenfield that is demonstrating the 'savings.'</t>
  </si>
  <si>
    <t xml:space="preserve">In other terms: </t>
  </si>
  <si>
    <t>In other terms:</t>
  </si>
  <si>
    <t xml:space="preserve">kgCO2e/person/year </t>
  </si>
  <si>
    <r>
      <t xml:space="preserve">This worksheet  will allow for the estimation of greenhouse gas emissions associated with the 'use' of a greenfield to be used for housing. The tool does not conisder construction costs associated with infrastructure improvements nor housing construction. Use this section of the tool to input information (in the </t>
    </r>
    <r>
      <rPr>
        <b/>
        <sz val="12"/>
        <color indexed="11"/>
        <rFont val="Calibri"/>
        <family val="2"/>
      </rPr>
      <t xml:space="preserve">green </t>
    </r>
    <r>
      <rPr>
        <sz val="12"/>
        <color indexed="8"/>
        <rFont val="Calibri"/>
        <family val="2"/>
      </rPr>
      <t>shaded boxes) about the brownfield that you would like to compare to a brownfield. In Section I, please input general information about the project so that you can identify the project in the future.  In Section II, please add basic, remediation, utility, maintenance, and travel  information about the site in 2012 dollars.  You will have to get this information from some one, such as the developer or the local CDC or the municipal engineer, who has specific knowledge of the greenfield.  The values that you input should be within the range of the referenced vlaues which are in 2012 dollars, if not, please let us know! We also ask you to calcualte the 'Walkabilty' index as another indicator of the 'sustainability' of your site.   Only Sections I and II on this sheet require input from you.  The spreadsheet will do the work and you will see the results below in the table titled 'Greennfield Impact.'</t>
    </r>
  </si>
  <si>
    <r>
      <t xml:space="preserve">These 'default' values are in </t>
    </r>
    <r>
      <rPr>
        <b/>
        <sz val="11"/>
        <color indexed="10"/>
        <rFont val="Calibri"/>
        <family val="2"/>
      </rPr>
      <t>red</t>
    </r>
    <r>
      <rPr>
        <sz val="11"/>
        <color theme="1"/>
        <rFont val="Calibri"/>
        <family val="2"/>
      </rPr>
      <t xml:space="preserve"> provided for your information and wil be used to calculate the green house gas emissions associated with behavior (utility consumption and travel) of the site residents.  There is no need for you to change these values unless you have information that suggests that the 'default values' for your geographic area should be different.  If this is the case, please let us know!</t>
    </r>
    <r>
      <rPr>
        <sz val="11"/>
        <rFont val="Calibri"/>
        <family val="2"/>
      </rPr>
      <t xml:space="preserve"> For further understanding these values, please refer to the</t>
    </r>
    <r>
      <rPr>
        <b/>
        <sz val="11"/>
        <color indexed="10"/>
        <rFont val="Calibri"/>
        <family val="2"/>
      </rPr>
      <t xml:space="preserve"> </t>
    </r>
    <r>
      <rPr>
        <sz val="11"/>
        <rFont val="Calibri"/>
        <family val="2"/>
      </rPr>
      <t>'Glossary'</t>
    </r>
    <r>
      <rPr>
        <b/>
        <sz val="11"/>
        <rFont val="Calibri"/>
        <family val="2"/>
      </rPr>
      <t xml:space="preserve"> </t>
    </r>
    <r>
      <rPr>
        <sz val="11"/>
        <rFont val="Calibri"/>
        <family val="2"/>
      </rPr>
      <t xml:space="preserve">worksheet. </t>
    </r>
  </si>
  <si>
    <t>5. Comparison Scenarios</t>
  </si>
  <si>
    <t>8. References</t>
  </si>
  <si>
    <t>7. Glossary</t>
  </si>
  <si>
    <r>
      <t xml:space="preserve">Table 7. Housing tenure and type of area: Average annual expenditures and characteristics, </t>
    </r>
    <r>
      <rPr>
        <b/>
        <sz val="11"/>
        <color indexed="8"/>
        <rFont val="Calibri"/>
        <family val="2"/>
      </rPr>
      <t>Consumer Expenditure Survey, 2009</t>
    </r>
    <r>
      <rPr>
        <sz val="11"/>
        <color indexed="8"/>
        <rFont val="Calibri"/>
        <family val="2"/>
      </rPr>
      <t xml:space="preserve"> (http://www.bls.gov/cex/2010/Standard/tenure.pdf), the </t>
    </r>
    <r>
      <rPr>
        <b/>
        <sz val="11"/>
        <color indexed="8"/>
        <rFont val="Calibri"/>
        <family val="2"/>
      </rPr>
      <t>D - Residential Expenditure Survey 2005</t>
    </r>
    <r>
      <rPr>
        <sz val="11"/>
        <color indexed="8"/>
        <rFont val="Calibri"/>
        <family val="2"/>
      </rPr>
      <t xml:space="preserve"> Microdata was used for the low and high ranges.</t>
    </r>
  </si>
  <si>
    <r>
      <t xml:space="preserve">Calculated factor based on the 1329 lbs C02/Mwh from  </t>
    </r>
    <r>
      <rPr>
        <b/>
        <sz val="11"/>
        <rFont val="Calibri"/>
        <family val="2"/>
      </rPr>
      <t>EPA eGRID 2005 (Version 1.1)</t>
    </r>
    <r>
      <rPr>
        <sz val="11"/>
        <rFont val="Calibri"/>
        <family val="2"/>
      </rPr>
      <t xml:space="preserve"> for national annual C02e and then  multiplied by the average residential electricity price across the US in May 2012 </t>
    </r>
    <r>
      <rPr>
        <b/>
        <sz val="11"/>
        <rFont val="Calibri"/>
        <family val="2"/>
      </rPr>
      <t xml:space="preserve"> </t>
    </r>
    <r>
      <rPr>
        <sz val="11"/>
        <rFont val="Calibri"/>
        <family val="2"/>
      </rPr>
      <t xml:space="preserve"> (</t>
    </r>
    <r>
      <rPr>
        <b/>
        <sz val="11"/>
        <rFont val="Calibri"/>
        <family val="2"/>
      </rPr>
      <t>EIA 2012a</t>
    </r>
    <r>
      <rPr>
        <sz val="11"/>
        <rFont val="Calibri"/>
        <family val="2"/>
      </rPr>
      <t xml:space="preserve">) </t>
    </r>
    <r>
      <rPr>
        <sz val="11"/>
        <rFont val="Calibri"/>
        <family val="2"/>
      </rPr>
      <t>For more information of this factor, please contact us.</t>
    </r>
  </si>
  <si>
    <r>
      <t>Calculated factor based on average life cycle natural gas emissions (137.7 lbs C02/MMBtu) from</t>
    </r>
    <r>
      <rPr>
        <b/>
        <sz val="11"/>
        <rFont val="Calibri"/>
        <family val="2"/>
      </rPr>
      <t xml:space="preserve"> Jaramillo 2007 </t>
    </r>
    <r>
      <rPr>
        <sz val="11"/>
        <rFont val="Calibri"/>
        <family val="2"/>
      </rPr>
      <t>Figure 6S in the supplemeental information. Natural gas's  heat content of 1030Btu/ft^3, conversion to kg and then use May 2012 Natural Gas residential prices (</t>
    </r>
    <r>
      <rPr>
        <b/>
        <sz val="11"/>
        <rFont val="Calibri"/>
        <family val="2"/>
      </rPr>
      <t>EIA 2012b)</t>
    </r>
    <r>
      <rPr>
        <sz val="11"/>
        <rFont val="Calibri"/>
        <family val="2"/>
      </rPr>
      <t xml:space="preserve"> to convert to kgC02/$</t>
    </r>
    <r>
      <rPr>
        <b/>
        <sz val="11"/>
        <rFont val="Calibri"/>
        <family val="2"/>
      </rPr>
      <t xml:space="preserve"> </t>
    </r>
    <r>
      <rPr>
        <sz val="11"/>
        <rFont val="Calibri"/>
        <family val="2"/>
      </rPr>
      <t>For more information of this factor, please contact us.</t>
    </r>
  </si>
  <si>
    <t>Before you enter any data, save this file to a folder on your computer.  Then save the file under a new name; one that reflects the sites that you want to evaluate.  Begin to enter data into the new file that you have created.  Keep the original file (from Carnegie Mellon) as a reference as well as the template for future evaluations.</t>
  </si>
  <si>
    <t>The objective of this tool is to compare benefits and costs of brownfield and greenfield residential developments through analyziing greenhouse gas emissions, energy impacts and  cost savings associated with site preparation, housing construction and housing 'operations' based on the travel behavior and utility usage of the residents.</t>
  </si>
  <si>
    <r>
      <rPr>
        <b/>
        <sz val="11"/>
        <color indexed="8"/>
        <rFont val="Calibri Bold"/>
        <family val="2"/>
      </rPr>
      <t>A</t>
    </r>
    <r>
      <rPr>
        <sz val="11"/>
        <color theme="1"/>
        <rFont val="Calibri"/>
        <family val="2"/>
      </rPr>
      <t xml:space="preserve">. This tool estimates the various costs and long term impacts associated with residential developments on brownfields and greenfields. There are tabs at the bottom of this spreadsheet to help you navigate through the tool. To use the spreadsheet, it is preferable to input data for your own sites, although the spreadsheet does provide default values and ranges from existing sites. A few general notes: 
</t>
    </r>
    <r>
      <rPr>
        <sz val="11"/>
        <color indexed="8"/>
        <rFont val="Arial"/>
        <family val="2"/>
      </rPr>
      <t>●</t>
    </r>
    <r>
      <rPr>
        <sz val="11"/>
        <color theme="1"/>
        <rFont val="Calibri"/>
        <family val="2"/>
      </rPr>
      <t xml:space="preserve"> To protect the integrity of format of the spreadsheet, please do not delete or add any rows or columns.
</t>
    </r>
    <r>
      <rPr>
        <sz val="11"/>
        <color indexed="8"/>
        <rFont val="Arial"/>
        <family val="2"/>
      </rPr>
      <t>●</t>
    </r>
    <r>
      <rPr>
        <sz val="11"/>
        <color theme="1"/>
        <rFont val="Calibri"/>
        <family val="2"/>
      </rPr>
      <t xml:space="preserve"> Make sure the values your enter match the unit specified. If they do not, convert your information to the units specified on this spreadsheet. Do not attempt to change the units.
</t>
    </r>
    <r>
      <rPr>
        <sz val="11"/>
        <color indexed="8"/>
        <rFont val="Arial"/>
        <family val="2"/>
      </rPr>
      <t>●</t>
    </r>
    <r>
      <rPr>
        <sz val="11"/>
        <color theme="1"/>
        <rFont val="Calibri"/>
        <family val="2"/>
      </rPr>
      <t xml:space="preserve"> Each page  contains a "Reference Average Value" column (in Table II) representing the average value found from prior research.  Please only  use this "Reference Average Value" column as a benchmark for your own numbers. If you do not have any site specific values to put in certain rows, use the numbers from the " Reference Average Value" Column.  
</t>
    </r>
    <r>
      <rPr>
        <sz val="11"/>
        <color indexed="8"/>
        <rFont val="Arial"/>
        <family val="2"/>
      </rPr>
      <t>●</t>
    </r>
    <r>
      <rPr>
        <sz val="11"/>
        <color theme="1"/>
        <rFont val="Calibri"/>
        <family val="2"/>
      </rPr>
      <t xml:space="preserve"> Do not attempt to change the values under the "Table III: Default Values" section  highlighted in </t>
    </r>
    <r>
      <rPr>
        <b/>
        <sz val="11"/>
        <color indexed="10"/>
        <rFont val="Calibri Bold"/>
        <family val="2"/>
      </rPr>
      <t>red</t>
    </r>
    <r>
      <rPr>
        <sz val="11"/>
        <color theme="1"/>
        <rFont val="Calibri"/>
        <family val="2"/>
      </rPr>
      <t xml:space="preserve">, unless you have more accurate data about your site.
</t>
    </r>
    <r>
      <rPr>
        <sz val="11"/>
        <color indexed="8"/>
        <rFont val="Arial"/>
        <family val="2"/>
      </rPr>
      <t>●</t>
    </r>
    <r>
      <rPr>
        <sz val="11"/>
        <color theme="1"/>
        <rFont val="Calibri"/>
        <family val="2"/>
      </rPr>
      <t xml:space="preserve"> If you are confused as to the definition or calculation of a term, refer to the  "Tab 7: Glossary" or Tab 8: References</t>
    </r>
  </si>
  <si>
    <r>
      <rPr>
        <b/>
        <sz val="11"/>
        <color indexed="8"/>
        <rFont val="Calibri"/>
        <family val="2"/>
      </rPr>
      <t>B.</t>
    </r>
    <r>
      <rPr>
        <sz val="11"/>
        <color theme="1"/>
        <rFont val="Calibri"/>
        <family val="2"/>
      </rPr>
      <t xml:space="preserve"> Begin  with "Tab 2: Brownfield Impact." Fill in the cells under "Table II: Input Information" (highlighted in </t>
    </r>
    <r>
      <rPr>
        <b/>
        <sz val="11"/>
        <color indexed="19"/>
        <rFont val="Calibri"/>
        <family val="2"/>
      </rPr>
      <t>brown</t>
    </r>
    <r>
      <rPr>
        <sz val="11"/>
        <color theme="1"/>
        <rFont val="Calibri"/>
        <family val="2"/>
      </rPr>
      <t>) with your site or project-specific data.   If you are only evaluating a 'greenfield' site and are not interested in making a brownfield/greenfield comparison, please proceed to Tab 3.</t>
    </r>
  </si>
  <si>
    <r>
      <rPr>
        <b/>
        <sz val="11"/>
        <color indexed="8"/>
        <rFont val="Calibri"/>
        <family val="2"/>
      </rPr>
      <t>C</t>
    </r>
    <r>
      <rPr>
        <sz val="11"/>
        <color theme="1"/>
        <rFont val="Calibri"/>
        <family val="2"/>
      </rPr>
      <t xml:space="preserve">. Continue  with "Tab 3: Greenfield Impact." Fill in the cells under "Table II: Input Information" (highlighted in </t>
    </r>
    <r>
      <rPr>
        <b/>
        <sz val="11"/>
        <color indexed="11"/>
        <rFont val="Calibri"/>
        <family val="2"/>
      </rPr>
      <t>green</t>
    </r>
    <r>
      <rPr>
        <sz val="11"/>
        <color theme="1"/>
        <rFont val="Calibri"/>
        <family val="2"/>
      </rPr>
      <t>) with your site or project-specific data.  If you are only evaluating a 'brownfield' site and are not interested in making a brownfield/greenfield comparison, please skip this Tab.</t>
    </r>
  </si>
  <si>
    <r>
      <rPr>
        <b/>
        <sz val="11"/>
        <color indexed="8"/>
        <rFont val="Calibri"/>
        <family val="2"/>
      </rPr>
      <t>D.</t>
    </r>
    <r>
      <rPr>
        <sz val="11"/>
        <color theme="1"/>
        <rFont val="Calibri"/>
        <family val="2"/>
      </rPr>
      <t xml:space="preserve"> Note that </t>
    </r>
    <r>
      <rPr>
        <b/>
        <sz val="11"/>
        <color indexed="8"/>
        <rFont val="Calibri"/>
        <family val="2"/>
      </rPr>
      <t>WALKABILTY</t>
    </r>
    <r>
      <rPr>
        <sz val="11"/>
        <color theme="1"/>
        <rFont val="Calibri"/>
        <family val="2"/>
      </rPr>
      <t xml:space="preserve"> is included as an Input value in Section II on Tabs 2 and 3.  We note that </t>
    </r>
    <r>
      <rPr>
        <b/>
        <sz val="11"/>
        <color indexed="8"/>
        <rFont val="Calibri"/>
        <family val="2"/>
      </rPr>
      <t xml:space="preserve">WALKABILTY </t>
    </r>
    <r>
      <rPr>
        <sz val="11"/>
        <color theme="1"/>
        <rFont val="Calibri"/>
        <family val="2"/>
      </rPr>
      <t xml:space="preserve">is not included in our environmental emission calculation but it can be an important criteria when comparing a brownfield development to a greenfield development.  As noted in "Tab 7: Glossary," </t>
    </r>
    <r>
      <rPr>
        <b/>
        <sz val="11"/>
        <color indexed="8"/>
        <rFont val="Calibri"/>
        <family val="2"/>
      </rPr>
      <t>WALKABILTY</t>
    </r>
    <r>
      <rPr>
        <sz val="11"/>
        <color theme="1"/>
        <rFont val="Calibri"/>
        <family val="2"/>
      </rPr>
      <t xml:space="preserve"> is determined by entering a representative address into the calculator found at 'walkscore.com.'</t>
    </r>
  </si>
  <si>
    <t xml:space="preserve">I- Mashayekh 2012b: The reference value of size is an averaged size based on the sizes specific to the 8 sites in 4 cities of Chicago, Minneapolis, Baltimore and Pittsburgh, which were obtained from developers, municipal engineers and planning organizations </t>
  </si>
  <si>
    <t>I- Mashayekh 2012b: The reference value of number of dwelling units is an averaged value based on data from 18 sites in 4 cities (Pittsburgh, PA, Baltimore, MD, Minneapolis, MN, Chicago, IL), which were obtained from  developers and planning organizations.</t>
  </si>
  <si>
    <t>Calculated. If data does not exist, based on Mashayekh 2012b, 12 HH/Acre could be used</t>
  </si>
  <si>
    <t>I - Mashayekh 2012b</t>
  </si>
  <si>
    <t>I- Mashayekh 2012b (values adjusted to reflect 2012 cost) Use project specific value if more accurate cost figure exist.</t>
  </si>
  <si>
    <t>M - TTI 2009 (Adjusted to 2012 cost)</t>
  </si>
  <si>
    <t>I-Mashayekh 2012b (Adjusted to  2012 cost)</t>
  </si>
  <si>
    <t>I-Mashayekh 2012b: The reference value of distance to city center is an average value based on the distances specific to 8 sites in 4 cities (Pittsburgh, PA, Baltimore, MD, Minneapolis, MN, Chicago, IL) studied in Mashayekh 2012 , which were obtained from Google Maps directions and selected roadway distances with the shortest travel time)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</si>
</sst>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00000"/>
    <numFmt numFmtId="171" formatCode="0.0000000"/>
    <numFmt numFmtId="172" formatCode="0.000000"/>
    <numFmt numFmtId="173" formatCode="0.00000"/>
    <numFmt numFmtId="174" formatCode="0.0000"/>
    <numFmt numFmtId="175" formatCode="0.000"/>
    <numFmt numFmtId="176" formatCode="#.00"/>
    <numFmt numFmtId="177" formatCode="#.000"/>
  </numFmts>
  <fonts count="80">
    <font>
      <sz val="11"/>
      <color theme="1"/>
      <name val="Calibri"/>
      <family val="2"/>
    </font>
    <font>
      <sz val="11"/>
      <color indexed="8"/>
      <name val="Calibri"/>
      <family val="2"/>
    </font>
    <font>
      <b/>
      <sz val="11"/>
      <color indexed="8"/>
      <name val="Calibri"/>
      <family val="2"/>
    </font>
    <font>
      <sz val="11"/>
      <name val="Calibri"/>
      <family val="2"/>
    </font>
    <font>
      <b/>
      <sz val="12"/>
      <color indexed="8"/>
      <name val="Calibri"/>
      <family val="2"/>
    </font>
    <font>
      <b/>
      <sz val="16"/>
      <color indexed="8"/>
      <name val="Calibri"/>
      <family val="2"/>
    </font>
    <font>
      <b/>
      <sz val="11"/>
      <name val="Calibri"/>
      <family val="2"/>
    </font>
    <font>
      <u val="single"/>
      <sz val="11"/>
      <name val="Calibri"/>
      <family val="2"/>
    </font>
    <font>
      <b/>
      <sz val="12"/>
      <name val="Arial"/>
      <family val="2"/>
    </font>
    <font>
      <sz val="12"/>
      <name val="Arial"/>
      <family val="2"/>
    </font>
    <font>
      <u val="single"/>
      <sz val="11"/>
      <color indexed="8"/>
      <name val="Calibri"/>
      <family val="2"/>
    </font>
    <font>
      <i/>
      <sz val="11"/>
      <color indexed="8"/>
      <name val="Calibri"/>
      <family val="2"/>
    </font>
    <font>
      <sz val="11"/>
      <color indexed="8"/>
      <name val="Arial"/>
      <family val="2"/>
    </font>
    <font>
      <b/>
      <sz val="20"/>
      <color indexed="8"/>
      <name val="Calibri"/>
      <family val="2"/>
    </font>
    <font>
      <b/>
      <i/>
      <sz val="11"/>
      <color indexed="8"/>
      <name val="Calibri"/>
      <family val="2"/>
    </font>
    <font>
      <b/>
      <sz val="16"/>
      <name val="Calibri"/>
      <family val="2"/>
    </font>
    <font>
      <b/>
      <i/>
      <sz val="16"/>
      <color indexed="8"/>
      <name val="Calibri"/>
      <family val="2"/>
    </font>
    <font>
      <b/>
      <sz val="14"/>
      <color indexed="8"/>
      <name val="Calibri"/>
      <family val="2"/>
    </font>
    <font>
      <b/>
      <i/>
      <sz val="11"/>
      <name val="Calibri"/>
      <family val="2"/>
    </font>
    <font>
      <sz val="8"/>
      <name val="Verdana"/>
      <family val="2"/>
    </font>
    <font>
      <b/>
      <sz val="11"/>
      <color indexed="8"/>
      <name val="Calibri Bold"/>
      <family val="2"/>
    </font>
    <font>
      <b/>
      <sz val="11"/>
      <color indexed="10"/>
      <name val="Calibri Bold"/>
      <family val="2"/>
    </font>
    <font>
      <sz val="12"/>
      <color indexed="8"/>
      <name val="Calibri"/>
      <family val="2"/>
    </font>
    <font>
      <sz val="11"/>
      <color indexed="10"/>
      <name val="Calibri"/>
      <family val="2"/>
    </font>
    <font>
      <b/>
      <sz val="11"/>
      <color indexed="10"/>
      <name val="Calibri"/>
      <family val="2"/>
    </font>
    <font>
      <sz val="11"/>
      <color indexed="36"/>
      <name val="Calibri"/>
      <family val="2"/>
    </font>
    <font>
      <sz val="16"/>
      <color indexed="10"/>
      <name val="Calibri"/>
      <family val="2"/>
    </font>
    <font>
      <b/>
      <sz val="12"/>
      <name val="Calibri"/>
      <family val="0"/>
    </font>
    <font>
      <b/>
      <u val="single"/>
      <sz val="12"/>
      <name val="Calibri"/>
      <family val="2"/>
    </font>
    <font>
      <b/>
      <sz val="12"/>
      <color indexed="19"/>
      <name val="Calibri"/>
      <family val="2"/>
    </font>
    <font>
      <b/>
      <i/>
      <sz val="12"/>
      <name val="Calibri"/>
      <family val="2"/>
    </font>
    <font>
      <sz val="10"/>
      <name val="Arial, Albany AMT, Helvetica"/>
      <family val="0"/>
    </font>
    <font>
      <b/>
      <sz val="12"/>
      <color indexed="11"/>
      <name val="Calibri"/>
      <family val="2"/>
    </font>
    <font>
      <b/>
      <sz val="11"/>
      <color indexed="19"/>
      <name val="Calibri"/>
      <family val="2"/>
    </font>
    <font>
      <b/>
      <sz val="11"/>
      <color indexed="11"/>
      <name val="Calibri"/>
      <family val="2"/>
    </font>
    <font>
      <sz val="11"/>
      <color indexed="9"/>
      <name val="Calibri"/>
      <family val="2"/>
    </font>
    <font>
      <sz val="11"/>
      <color indexed="20"/>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49"/>
      <name val="Calibri"/>
      <family val="2"/>
    </font>
    <font>
      <sz val="12"/>
      <color indexed="11"/>
      <name val="Arial"/>
      <family val="2"/>
    </font>
    <font>
      <sz val="10"/>
      <color indexed="8"/>
      <name val="Calibri"/>
      <family val="2"/>
    </font>
    <font>
      <b/>
      <sz val="18"/>
      <color indexed="8"/>
      <name val="Calibri"/>
      <family val="2"/>
    </font>
    <font>
      <sz val="8.45"/>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0"/>
    </font>
    <font>
      <sz val="11"/>
      <color rgb="FF000000"/>
      <name val="Calibri"/>
      <family val="2"/>
    </font>
    <font>
      <sz val="11"/>
      <color theme="4"/>
      <name val="Calibri"/>
      <family val="2"/>
    </font>
    <font>
      <b/>
      <sz val="12"/>
      <color theme="1"/>
      <name val="Calibri"/>
      <family val="2"/>
    </font>
    <font>
      <sz val="12"/>
      <color rgb="FF92D05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2"/>
        <bgColor indexed="64"/>
      </patternFill>
    </fill>
    <fill>
      <patternFill patternType="solid">
        <fgColor indexed="49"/>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rgb="FFFF0000"/>
        <bgColor indexed="64"/>
      </patternFill>
    </fill>
    <fill>
      <patternFill patternType="solid">
        <fgColor rgb="FFFF0000"/>
        <bgColor indexed="64"/>
      </patternFill>
    </fill>
    <fill>
      <patternFill patternType="solid">
        <fgColor rgb="FFCCFFCC"/>
        <bgColor indexed="64"/>
      </patternFill>
    </fill>
    <fill>
      <patternFill patternType="solid">
        <fgColor theme="2" tint="-0.4999699890613556"/>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tint="-0.24997000396251678"/>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style="thin"/>
      <top style="thin"/>
      <bottom style="medium"/>
    </border>
    <border>
      <left style="thin"/>
      <right style="thin"/>
      <top>
        <color indexed="63"/>
      </top>
      <bottom style="thin"/>
    </border>
    <border>
      <left style="thin"/>
      <right style="thin"/>
      <top style="medium"/>
      <bottom style="medium"/>
    </border>
    <border>
      <left style="thin"/>
      <right style="medium"/>
      <top style="medium"/>
      <bottom style="medium"/>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medium"/>
      <right>
        <color indexed="63"/>
      </right>
      <top>
        <color indexed="63"/>
      </top>
      <bottom style="medium"/>
    </border>
    <border>
      <left style="medium"/>
      <right style="thin"/>
      <top>
        <color indexed="63"/>
      </top>
      <bottom style="thin"/>
    </border>
    <border>
      <left style="medium"/>
      <right style="thin"/>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medium"/>
    </border>
    <border>
      <left style="medium"/>
      <right style="thin"/>
      <top style="medium"/>
      <bottom>
        <color indexed="63"/>
      </bottom>
    </border>
    <border>
      <left style="thin"/>
      <right style="medium"/>
      <top style="medium"/>
      <bottom>
        <color indexed="63"/>
      </bottom>
    </border>
    <border>
      <left>
        <color indexed="63"/>
      </left>
      <right style="thin"/>
      <top>
        <color indexed="63"/>
      </top>
      <bottom style="medium"/>
    </border>
    <border>
      <left style="thin"/>
      <right style="thin"/>
      <top>
        <color indexed="63"/>
      </top>
      <bottom>
        <color indexed="63"/>
      </bottom>
    </border>
    <border>
      <left style="thin"/>
      <right>
        <color indexed="63"/>
      </right>
      <top style="thin"/>
      <bottom style="thin"/>
    </border>
    <border>
      <left style="thin"/>
      <right>
        <color indexed="63"/>
      </right>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medium"/>
      <top>
        <color indexed="63"/>
      </top>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style="thin"/>
      <bottom>
        <color indexed="63"/>
      </bottom>
    </border>
    <border>
      <left style="thin"/>
      <right style="thin"/>
      <top>
        <color indexed="63"/>
      </top>
      <bottom style="medium"/>
    </border>
    <border>
      <left>
        <color indexed="63"/>
      </left>
      <right>
        <color indexed="63"/>
      </right>
      <top style="medium"/>
      <bottom>
        <color indexed="63"/>
      </bottom>
    </border>
    <border>
      <left style="medium"/>
      <right style="thin"/>
      <top style="medium"/>
      <bottom style="medium"/>
    </border>
    <border>
      <left style="thin"/>
      <right>
        <color indexed="63"/>
      </right>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style="medium"/>
      <bottom>
        <color indexed="63"/>
      </bottom>
    </border>
    <border>
      <left style="thin"/>
      <right>
        <color indexed="63"/>
      </right>
      <top style="medium"/>
      <bottom style="thin"/>
    </border>
    <border>
      <left>
        <color indexed="63"/>
      </left>
      <right style="thin"/>
      <top style="medium"/>
      <bottom style="medium"/>
    </border>
    <border>
      <left style="medium"/>
      <right style="medium"/>
      <top style="medium"/>
      <bottom style="thin"/>
    </border>
    <border>
      <left>
        <color indexed="63"/>
      </left>
      <right style="medium"/>
      <top style="medium"/>
      <bottom style="medium"/>
    </border>
    <border>
      <left>
        <color indexed="63"/>
      </left>
      <right style="thin"/>
      <top style="medium"/>
      <bottom>
        <color indexed="63"/>
      </bottom>
    </border>
    <border>
      <left style="medium"/>
      <right>
        <color indexed="63"/>
      </right>
      <top>
        <color indexed="63"/>
      </top>
      <bottom>
        <color indexed="63"/>
      </bottom>
    </border>
    <border>
      <left style="medium"/>
      <right style="medium"/>
      <top style="thin"/>
      <bottom>
        <color indexed="63"/>
      </bottom>
    </border>
    <border>
      <left>
        <color indexed="63"/>
      </left>
      <right style="medium"/>
      <top style="medium"/>
      <bottom style="thin"/>
    </border>
    <border>
      <left style="thin"/>
      <right>
        <color indexed="63"/>
      </right>
      <top>
        <color indexed="63"/>
      </top>
      <bottom style="medium"/>
    </border>
    <border>
      <left>
        <color indexed="63"/>
      </left>
      <right style="medium"/>
      <top>
        <color indexed="63"/>
      </top>
      <bottom style="medium"/>
    </border>
    <border>
      <left/>
      <right style="thin">
        <color rgb="FF4F493B"/>
      </right>
      <top/>
      <bottom style="thin">
        <color rgb="FF4F493B"/>
      </botto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thin"/>
      <bottom style="thin"/>
    </border>
    <border>
      <left style="thin"/>
      <right style="thin"/>
      <top style="medium"/>
      <bottom>
        <color indexed="63"/>
      </bottom>
    </border>
    <border>
      <left style="medium"/>
      <right>
        <color indexed="63"/>
      </right>
      <top style="medium"/>
      <bottom>
        <color indexed="63"/>
      </bottom>
    </border>
    <border>
      <left>
        <color indexed="63"/>
      </left>
      <right style="medium"/>
      <top style="thin"/>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36" fillId="31" borderId="0" applyNumberFormat="0" applyBorder="0" applyAlignment="0" applyProtection="0"/>
    <xf numFmtId="0" fontId="58" fillId="31" borderId="0" applyNumberFormat="0" applyBorder="0" applyAlignment="0" applyProtection="0"/>
    <xf numFmtId="0" fontId="59" fillId="32" borderId="1" applyNumberFormat="0" applyAlignment="0" applyProtection="0"/>
    <xf numFmtId="0" fontId="60" fillId="33"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5" borderId="1" applyNumberFormat="0" applyAlignment="0" applyProtection="0"/>
    <xf numFmtId="0" fontId="69" fillId="0" borderId="6" applyNumberFormat="0" applyFill="0" applyAlignment="0" applyProtection="0"/>
    <xf numFmtId="0" fontId="70" fillId="36" borderId="0" applyNumberFormat="0" applyBorder="0" applyAlignment="0" applyProtection="0"/>
    <xf numFmtId="0" fontId="70" fillId="37" borderId="0" applyNumberFormat="0" applyBorder="0" applyAlignment="0" applyProtection="0"/>
    <xf numFmtId="0" fontId="1" fillId="38" borderId="7" applyNumberFormat="0" applyFont="0" applyAlignment="0" applyProtection="0"/>
    <xf numFmtId="0" fontId="0" fillId="39" borderId="7" applyNumberFormat="0" applyFont="0" applyAlignment="0" applyProtection="0"/>
    <xf numFmtId="0" fontId="71" fillId="32" borderId="8" applyNumberFormat="0" applyAlignment="0" applyProtection="0"/>
    <xf numFmtId="9" fontId="1"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61">
    <xf numFmtId="0" fontId="0" fillId="0" borderId="0" xfId="0" applyFont="1" applyAlignment="1">
      <alignment/>
    </xf>
    <xf numFmtId="0" fontId="0" fillId="0" borderId="0" xfId="0" applyFont="1" applyAlignment="1">
      <alignment/>
    </xf>
    <xf numFmtId="0" fontId="0" fillId="0" borderId="0" xfId="0" applyBorder="1" applyAlignment="1">
      <alignment/>
    </xf>
    <xf numFmtId="0" fontId="0" fillId="0" borderId="0" xfId="0" applyFont="1" applyAlignment="1">
      <alignment vertical="top"/>
    </xf>
    <xf numFmtId="0" fontId="0" fillId="0" borderId="0" xfId="0" applyFill="1" applyAlignment="1">
      <alignment/>
    </xf>
    <xf numFmtId="0" fontId="3" fillId="0" borderId="0" xfId="0" applyFont="1" applyAlignment="1">
      <alignment/>
    </xf>
    <xf numFmtId="0" fontId="3" fillId="0" borderId="0" xfId="0" applyFont="1" applyFill="1" applyBorder="1" applyAlignment="1">
      <alignment horizontal="left" wrapText="1"/>
    </xf>
    <xf numFmtId="0" fontId="0" fillId="0" borderId="0" xfId="0" applyFont="1" applyFill="1" applyAlignment="1">
      <alignment/>
    </xf>
    <xf numFmtId="0" fontId="9" fillId="0" borderId="0" xfId="0" applyFont="1" applyBorder="1" applyAlignment="1">
      <alignment vertical="center"/>
    </xf>
    <xf numFmtId="3" fontId="9" fillId="0" borderId="0" xfId="0" applyNumberFormat="1" applyFont="1" applyBorder="1" applyAlignment="1">
      <alignment horizontal="left" vertical="center"/>
    </xf>
    <xf numFmtId="0" fontId="0" fillId="0" borderId="10" xfId="0" applyFill="1" applyBorder="1" applyAlignment="1">
      <alignment horizontal="center"/>
    </xf>
    <xf numFmtId="0" fontId="0" fillId="0" borderId="11" xfId="0" applyFill="1" applyBorder="1" applyAlignment="1">
      <alignment horizontal="center"/>
    </xf>
    <xf numFmtId="9" fontId="0" fillId="0" borderId="10" xfId="0" applyNumberFormat="1"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9" fillId="0" borderId="0" xfId="0" applyFont="1" applyFill="1" applyBorder="1" applyAlignment="1">
      <alignment vertical="center"/>
    </xf>
    <xf numFmtId="0" fontId="2" fillId="0" borderId="15" xfId="0" applyFont="1" applyFill="1" applyBorder="1" applyAlignment="1">
      <alignment horizontal="center"/>
    </xf>
    <xf numFmtId="1" fontId="0" fillId="0" borderId="16" xfId="0" applyNumberFormat="1" applyFill="1" applyBorder="1" applyAlignment="1">
      <alignment horizontal="center"/>
    </xf>
    <xf numFmtId="1" fontId="0" fillId="0" borderId="17" xfId="0" applyNumberFormat="1" applyFill="1" applyBorder="1" applyAlignment="1">
      <alignment horizontal="center"/>
    </xf>
    <xf numFmtId="1" fontId="0" fillId="0" borderId="11" xfId="0" applyNumberFormat="1" applyFill="1" applyBorder="1" applyAlignment="1">
      <alignment horizontal="center"/>
    </xf>
    <xf numFmtId="0" fontId="2" fillId="0" borderId="0" xfId="0" applyFont="1" applyAlignment="1">
      <alignment horizontal="center"/>
    </xf>
    <xf numFmtId="0" fontId="0" fillId="0" borderId="0" xfId="0" applyAlignment="1">
      <alignment wrapText="1"/>
    </xf>
    <xf numFmtId="0" fontId="0" fillId="40" borderId="18" xfId="0" applyFill="1" applyBorder="1" applyAlignment="1">
      <alignment/>
    </xf>
    <xf numFmtId="0" fontId="0" fillId="40" borderId="19" xfId="0" applyFill="1" applyBorder="1" applyAlignment="1">
      <alignment/>
    </xf>
    <xf numFmtId="0" fontId="0" fillId="41" borderId="18" xfId="0" applyFill="1" applyBorder="1" applyAlignment="1">
      <alignment/>
    </xf>
    <xf numFmtId="0" fontId="0" fillId="41" borderId="19" xfId="0" applyFill="1" applyBorder="1" applyAlignment="1">
      <alignment/>
    </xf>
    <xf numFmtId="0" fontId="0" fillId="42" borderId="18" xfId="0" applyFill="1" applyBorder="1" applyAlignment="1">
      <alignment/>
    </xf>
    <xf numFmtId="0" fontId="0" fillId="42" borderId="19" xfId="0" applyFill="1" applyBorder="1" applyAlignment="1">
      <alignment/>
    </xf>
    <xf numFmtId="0" fontId="11" fillId="0" borderId="0" xfId="0" applyFont="1" applyAlignment="1">
      <alignment/>
    </xf>
    <xf numFmtId="0" fontId="4" fillId="42" borderId="20" xfId="0" applyFont="1" applyFill="1" applyBorder="1" applyAlignment="1">
      <alignment/>
    </xf>
    <xf numFmtId="0" fontId="0" fillId="43" borderId="21" xfId="0" applyFill="1" applyBorder="1" applyAlignment="1">
      <alignment/>
    </xf>
    <xf numFmtId="0" fontId="0" fillId="43" borderId="0" xfId="0" applyFill="1" applyBorder="1" applyAlignment="1">
      <alignment/>
    </xf>
    <xf numFmtId="0" fontId="0" fillId="43" borderId="22" xfId="0" applyFill="1" applyBorder="1" applyAlignment="1">
      <alignment/>
    </xf>
    <xf numFmtId="0" fontId="0" fillId="43" borderId="23" xfId="0" applyFill="1" applyBorder="1" applyAlignment="1">
      <alignment/>
    </xf>
    <xf numFmtId="0" fontId="0" fillId="43" borderId="24" xfId="0" applyFill="1" applyBorder="1" applyAlignment="1">
      <alignment/>
    </xf>
    <xf numFmtId="0" fontId="0" fillId="43" borderId="25" xfId="0" applyFill="1" applyBorder="1" applyAlignment="1">
      <alignment/>
    </xf>
    <xf numFmtId="0" fontId="12" fillId="0" borderId="0" xfId="0" applyFont="1" applyAlignment="1">
      <alignment/>
    </xf>
    <xf numFmtId="0" fontId="13" fillId="0" borderId="0" xfId="0" applyFont="1" applyAlignment="1">
      <alignment/>
    </xf>
    <xf numFmtId="0" fontId="0" fillId="0" borderId="0" xfId="0" applyFill="1" applyBorder="1" applyAlignment="1">
      <alignment horizontal="center"/>
    </xf>
    <xf numFmtId="1" fontId="0" fillId="0" borderId="0" xfId="0" applyNumberFormat="1" applyFill="1" applyBorder="1" applyAlignment="1">
      <alignment horizontal="center"/>
    </xf>
    <xf numFmtId="0" fontId="0" fillId="0" borderId="26" xfId="0" applyBorder="1" applyAlignment="1">
      <alignment horizontal="center"/>
    </xf>
    <xf numFmtId="1" fontId="0" fillId="0" borderId="26" xfId="0" applyNumberFormat="1" applyFill="1" applyBorder="1" applyAlignment="1">
      <alignment horizontal="center"/>
    </xf>
    <xf numFmtId="0" fontId="5" fillId="0" borderId="0" xfId="0" applyFont="1" applyFill="1" applyAlignment="1">
      <alignment/>
    </xf>
    <xf numFmtId="0" fontId="0" fillId="0" borderId="0" xfId="0" applyFont="1" applyFill="1" applyBorder="1" applyAlignment="1">
      <alignment horizontal="left"/>
    </xf>
    <xf numFmtId="0" fontId="0" fillId="0" borderId="27" xfId="0" applyFill="1" applyBorder="1" applyAlignment="1">
      <alignment horizontal="center"/>
    </xf>
    <xf numFmtId="0" fontId="3" fillId="0" borderId="0" xfId="0" applyFont="1" applyFill="1" applyAlignment="1">
      <alignment wrapText="1"/>
    </xf>
    <xf numFmtId="0" fontId="3" fillId="0" borderId="0" xfId="0" applyFont="1" applyAlignment="1">
      <alignment wrapText="1"/>
    </xf>
    <xf numFmtId="0" fontId="6" fillId="0" borderId="0" xfId="0" applyFont="1" applyAlignment="1">
      <alignment wrapText="1"/>
    </xf>
    <xf numFmtId="0" fontId="7" fillId="0" borderId="0" xfId="59" applyFont="1" applyAlignment="1">
      <alignment wrapText="1"/>
    </xf>
    <xf numFmtId="0" fontId="3" fillId="0" borderId="0" xfId="0" applyFont="1" applyBorder="1" applyAlignment="1">
      <alignment wrapText="1"/>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9" fontId="0" fillId="0" borderId="32" xfId="0" applyNumberFormat="1" applyFill="1" applyBorder="1" applyAlignment="1">
      <alignment horizontal="center"/>
    </xf>
    <xf numFmtId="0" fontId="0" fillId="0" borderId="33" xfId="0" applyFill="1" applyBorder="1" applyAlignment="1">
      <alignment horizontal="center"/>
    </xf>
    <xf numFmtId="0" fontId="0" fillId="0" borderId="34" xfId="0" applyFill="1" applyBorder="1" applyAlignment="1">
      <alignment horizontal="center"/>
    </xf>
    <xf numFmtId="0" fontId="0" fillId="0" borderId="35" xfId="0" applyFill="1" applyBorder="1" applyAlignment="1">
      <alignment horizontal="center"/>
    </xf>
    <xf numFmtId="1" fontId="3" fillId="0" borderId="11" xfId="0" applyNumberFormat="1" applyFont="1" applyFill="1" applyBorder="1" applyAlignment="1">
      <alignment horizontal="center"/>
    </xf>
    <xf numFmtId="0" fontId="0" fillId="0" borderId="36" xfId="0" applyFill="1" applyBorder="1" applyAlignment="1">
      <alignment horizontal="center"/>
    </xf>
    <xf numFmtId="1" fontId="3" fillId="0" borderId="36" xfId="0" applyNumberFormat="1" applyFont="1"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1" fontId="0" fillId="0" borderId="38" xfId="0" applyNumberFormat="1" applyBorder="1" applyAlignment="1">
      <alignment horizontal="center"/>
    </xf>
    <xf numFmtId="0" fontId="0" fillId="0" borderId="0" xfId="0" applyFont="1" applyFill="1" applyBorder="1" applyAlignment="1">
      <alignment horizontal="left" wrapText="1"/>
    </xf>
    <xf numFmtId="3" fontId="3" fillId="0" borderId="0" xfId="0" applyNumberFormat="1" applyFont="1" applyFill="1" applyBorder="1" applyAlignment="1">
      <alignment horizontal="left" vertical="center"/>
    </xf>
    <xf numFmtId="0" fontId="2" fillId="0" borderId="39" xfId="0" applyFont="1" applyFill="1" applyBorder="1" applyAlignment="1">
      <alignment/>
    </xf>
    <xf numFmtId="1" fontId="2" fillId="0" borderId="26" xfId="0" applyNumberFormat="1" applyFont="1" applyFill="1" applyBorder="1" applyAlignment="1">
      <alignment horizontal="center"/>
    </xf>
    <xf numFmtId="0" fontId="2" fillId="0" borderId="26" xfId="0" applyFont="1" applyFill="1" applyBorder="1" applyAlignment="1">
      <alignment/>
    </xf>
    <xf numFmtId="1" fontId="2" fillId="0" borderId="0" xfId="0" applyNumberFormat="1" applyFont="1" applyFill="1" applyBorder="1" applyAlignment="1">
      <alignment horizontal="center"/>
    </xf>
    <xf numFmtId="0" fontId="2" fillId="0" borderId="32" xfId="0" applyFont="1" applyFill="1" applyBorder="1" applyAlignment="1">
      <alignment horizontal="center"/>
    </xf>
    <xf numFmtId="0" fontId="2" fillId="0" borderId="17" xfId="0" applyFont="1" applyFill="1" applyBorder="1" applyAlignment="1">
      <alignment horizontal="center"/>
    </xf>
    <xf numFmtId="0" fontId="2" fillId="0" borderId="12" xfId="0" applyFont="1" applyFill="1" applyBorder="1" applyAlignment="1">
      <alignment horizontal="center"/>
    </xf>
    <xf numFmtId="1" fontId="0" fillId="0" borderId="40" xfId="0" applyNumberFormat="1" applyFill="1" applyBorder="1" applyAlignment="1">
      <alignment horizontal="center"/>
    </xf>
    <xf numFmtId="1" fontId="0" fillId="0" borderId="27" xfId="0" applyNumberFormat="1" applyFill="1" applyBorder="1" applyAlignment="1">
      <alignment horizontal="center"/>
    </xf>
    <xf numFmtId="1" fontId="0" fillId="0" borderId="41" xfId="0" applyNumberFormat="1" applyFill="1" applyBorder="1" applyAlignment="1">
      <alignment horizontal="center"/>
    </xf>
    <xf numFmtId="0" fontId="0" fillId="0" borderId="42" xfId="0" applyFont="1" applyFill="1" applyBorder="1" applyAlignment="1">
      <alignment horizontal="left"/>
    </xf>
    <xf numFmtId="0" fontId="0" fillId="0" borderId="43" xfId="0" applyFont="1" applyFill="1" applyBorder="1" applyAlignment="1">
      <alignment horizontal="left"/>
    </xf>
    <xf numFmtId="0" fontId="0" fillId="0" borderId="43" xfId="0" applyFill="1" applyBorder="1" applyAlignment="1">
      <alignment horizontal="left"/>
    </xf>
    <xf numFmtId="0" fontId="0" fillId="0" borderId="44" xfId="0" applyFont="1" applyFill="1" applyBorder="1" applyAlignment="1">
      <alignment horizontal="left"/>
    </xf>
    <xf numFmtId="0" fontId="0" fillId="0" borderId="45" xfId="0" applyFont="1" applyFill="1" applyBorder="1" applyAlignment="1">
      <alignment horizontal="left"/>
    </xf>
    <xf numFmtId="0" fontId="0" fillId="0" borderId="46" xfId="0" applyFont="1" applyFill="1" applyBorder="1" applyAlignment="1">
      <alignment horizontal="left"/>
    </xf>
    <xf numFmtId="0" fontId="0" fillId="0" borderId="47" xfId="0" applyFont="1" applyFill="1" applyBorder="1" applyAlignment="1">
      <alignment horizontal="left"/>
    </xf>
    <xf numFmtId="0" fontId="2" fillId="0" borderId="48" xfId="0" applyFont="1" applyFill="1" applyBorder="1" applyAlignment="1">
      <alignment horizontal="center"/>
    </xf>
    <xf numFmtId="0" fontId="2" fillId="0" borderId="49" xfId="0" applyFont="1" applyFill="1" applyBorder="1" applyAlignment="1">
      <alignment horizontal="center"/>
    </xf>
    <xf numFmtId="0" fontId="2" fillId="0" borderId="0" xfId="0" applyFont="1" applyAlignment="1">
      <alignment/>
    </xf>
    <xf numFmtId="0" fontId="0" fillId="0" borderId="10" xfId="0" applyBorder="1" applyAlignment="1">
      <alignment/>
    </xf>
    <xf numFmtId="9" fontId="0" fillId="0" borderId="10" xfId="0" applyNumberFormat="1" applyBorder="1" applyAlignment="1">
      <alignment/>
    </xf>
    <xf numFmtId="2" fontId="0" fillId="0" borderId="10" xfId="0" applyNumberFormat="1" applyBorder="1" applyAlignment="1">
      <alignment/>
    </xf>
    <xf numFmtId="0" fontId="0" fillId="0" borderId="10" xfId="0" applyFill="1" applyBorder="1" applyAlignment="1">
      <alignment/>
    </xf>
    <xf numFmtId="1" fontId="0" fillId="0" borderId="10" xfId="0" applyNumberFormat="1" applyBorder="1" applyAlignment="1">
      <alignment/>
    </xf>
    <xf numFmtId="1" fontId="0" fillId="44" borderId="10" xfId="0" applyNumberFormat="1" applyFill="1" applyBorder="1" applyAlignment="1">
      <alignment/>
    </xf>
    <xf numFmtId="1" fontId="2" fillId="0" borderId="50" xfId="0" applyNumberFormat="1" applyFont="1" applyFill="1" applyBorder="1" applyAlignment="1">
      <alignment horizontal="center"/>
    </xf>
    <xf numFmtId="0" fontId="0" fillId="0" borderId="51" xfId="0" applyFill="1" applyBorder="1" applyAlignment="1">
      <alignment/>
    </xf>
    <xf numFmtId="0" fontId="0" fillId="0" borderId="33" xfId="0" applyBorder="1" applyAlignment="1">
      <alignment/>
    </xf>
    <xf numFmtId="1" fontId="0" fillId="0" borderId="32" xfId="0" applyNumberFormat="1" applyBorder="1" applyAlignment="1">
      <alignment/>
    </xf>
    <xf numFmtId="0" fontId="0" fillId="0" borderId="52" xfId="0" applyBorder="1" applyAlignment="1">
      <alignment horizontal="left"/>
    </xf>
    <xf numFmtId="0" fontId="0" fillId="0" borderId="53" xfId="0" applyBorder="1" applyAlignment="1">
      <alignment horizontal="left"/>
    </xf>
    <xf numFmtId="1" fontId="0" fillId="0" borderId="54" xfId="0" applyNumberFormat="1" applyBorder="1" applyAlignment="1">
      <alignment/>
    </xf>
    <xf numFmtId="1" fontId="0" fillId="0" borderId="55" xfId="0" applyNumberFormat="1" applyBorder="1" applyAlignment="1">
      <alignment/>
    </xf>
    <xf numFmtId="1" fontId="0" fillId="0" borderId="56" xfId="0" applyNumberFormat="1" applyBorder="1" applyAlignment="1">
      <alignment/>
    </xf>
    <xf numFmtId="1" fontId="0" fillId="0" borderId="50" xfId="0" applyNumberFormat="1" applyBorder="1" applyAlignment="1">
      <alignment/>
    </xf>
    <xf numFmtId="1" fontId="0" fillId="0" borderId="15" xfId="0" applyNumberFormat="1" applyBorder="1" applyAlignment="1">
      <alignment/>
    </xf>
    <xf numFmtId="1" fontId="0" fillId="0" borderId="14" xfId="0" applyNumberFormat="1" applyBorder="1" applyAlignment="1">
      <alignment/>
    </xf>
    <xf numFmtId="1" fontId="0" fillId="0" borderId="16" xfId="0" applyNumberFormat="1" applyBorder="1" applyAlignment="1">
      <alignment/>
    </xf>
    <xf numFmtId="1" fontId="0" fillId="0" borderId="11" xfId="0" applyNumberFormat="1" applyBorder="1" applyAlignment="1">
      <alignment/>
    </xf>
    <xf numFmtId="1" fontId="0" fillId="0" borderId="17" xfId="0" applyNumberFormat="1" applyBorder="1" applyAlignment="1">
      <alignment/>
    </xf>
    <xf numFmtId="1" fontId="0" fillId="0" borderId="41" xfId="0" applyNumberFormat="1" applyBorder="1" applyAlignment="1">
      <alignment/>
    </xf>
    <xf numFmtId="1" fontId="0" fillId="0" borderId="57" xfId="0" applyNumberFormat="1" applyBorder="1" applyAlignment="1">
      <alignment/>
    </xf>
    <xf numFmtId="0" fontId="2" fillId="0" borderId="58" xfId="0" applyFont="1" applyBorder="1" applyAlignment="1">
      <alignment/>
    </xf>
    <xf numFmtId="0" fontId="2" fillId="0" borderId="59" xfId="0" applyFont="1" applyBorder="1" applyAlignment="1">
      <alignment/>
    </xf>
    <xf numFmtId="0" fontId="2" fillId="0" borderId="19" xfId="0" applyFont="1" applyBorder="1" applyAlignment="1">
      <alignment/>
    </xf>
    <xf numFmtId="1" fontId="0" fillId="0" borderId="49" xfId="0" applyNumberFormat="1" applyBorder="1" applyAlignment="1">
      <alignment/>
    </xf>
    <xf numFmtId="0" fontId="2" fillId="0" borderId="60" xfId="0" applyFont="1" applyBorder="1" applyAlignment="1">
      <alignment/>
    </xf>
    <xf numFmtId="0" fontId="2" fillId="0" borderId="61" xfId="0" applyFont="1" applyBorder="1" applyAlignment="1">
      <alignment/>
    </xf>
    <xf numFmtId="0" fontId="2" fillId="0" borderId="22" xfId="0" applyFont="1" applyBorder="1" applyAlignment="1">
      <alignment/>
    </xf>
    <xf numFmtId="1" fontId="0" fillId="0" borderId="12" xfId="0" applyNumberFormat="1" applyBorder="1" applyAlignment="1">
      <alignment/>
    </xf>
    <xf numFmtId="1" fontId="0" fillId="0" borderId="27" xfId="0" applyNumberFormat="1" applyBorder="1" applyAlignment="1">
      <alignment/>
    </xf>
    <xf numFmtId="1" fontId="0" fillId="44" borderId="11" xfId="0" applyNumberFormat="1" applyFill="1" applyBorder="1" applyAlignment="1">
      <alignment/>
    </xf>
    <xf numFmtId="0" fontId="2" fillId="0" borderId="62" xfId="0" applyFont="1" applyBorder="1" applyAlignment="1">
      <alignment/>
    </xf>
    <xf numFmtId="1" fontId="2" fillId="0" borderId="63" xfId="0" applyNumberFormat="1" applyFont="1" applyBorder="1" applyAlignment="1">
      <alignment/>
    </xf>
    <xf numFmtId="1" fontId="2" fillId="0" borderId="57" xfId="0" applyNumberFormat="1" applyFont="1" applyBorder="1" applyAlignment="1">
      <alignment/>
    </xf>
    <xf numFmtId="1" fontId="0" fillId="44" borderId="13" xfId="0" applyNumberFormat="1" applyFill="1" applyBorder="1" applyAlignment="1">
      <alignment/>
    </xf>
    <xf numFmtId="1" fontId="0" fillId="44" borderId="14" xfId="0" applyNumberFormat="1" applyFill="1" applyBorder="1" applyAlignment="1">
      <alignment/>
    </xf>
    <xf numFmtId="1" fontId="0" fillId="44" borderId="32" xfId="0" applyNumberFormat="1" applyFill="1" applyBorder="1" applyAlignment="1">
      <alignment/>
    </xf>
    <xf numFmtId="1" fontId="0" fillId="44" borderId="12" xfId="0" applyNumberFormat="1" applyFill="1" applyBorder="1" applyAlignment="1">
      <alignment/>
    </xf>
    <xf numFmtId="0" fontId="0" fillId="44" borderId="42" xfId="0" applyFill="1" applyBorder="1" applyAlignment="1">
      <alignment/>
    </xf>
    <xf numFmtId="0" fontId="0" fillId="0" borderId="43" xfId="0" applyFill="1" applyBorder="1" applyAlignment="1">
      <alignment/>
    </xf>
    <xf numFmtId="0" fontId="0" fillId="44" borderId="43" xfId="0" applyFill="1" applyBorder="1" applyAlignment="1">
      <alignment horizontal="right"/>
    </xf>
    <xf numFmtId="0" fontId="0" fillId="0" borderId="43" xfId="0" applyFill="1" applyBorder="1" applyAlignment="1">
      <alignment horizontal="right"/>
    </xf>
    <xf numFmtId="0" fontId="0" fillId="44" borderId="43" xfId="0" applyFill="1" applyBorder="1" applyAlignment="1">
      <alignment/>
    </xf>
    <xf numFmtId="1" fontId="0" fillId="44" borderId="54" xfId="0" applyNumberFormat="1" applyFill="1" applyBorder="1" applyAlignment="1">
      <alignment/>
    </xf>
    <xf numFmtId="1" fontId="0" fillId="0" borderId="55" xfId="0" applyNumberFormat="1" applyFill="1" applyBorder="1" applyAlignment="1">
      <alignment/>
    </xf>
    <xf numFmtId="1" fontId="0" fillId="44" borderId="55" xfId="0" applyNumberFormat="1" applyFill="1" applyBorder="1" applyAlignment="1">
      <alignment/>
    </xf>
    <xf numFmtId="1" fontId="0" fillId="44" borderId="15" xfId="0" applyNumberFormat="1" applyFill="1" applyBorder="1" applyAlignment="1">
      <alignment/>
    </xf>
    <xf numFmtId="1" fontId="0" fillId="44" borderId="16" xfId="0" applyNumberFormat="1" applyFill="1" applyBorder="1" applyAlignment="1">
      <alignment/>
    </xf>
    <xf numFmtId="1" fontId="0" fillId="44" borderId="17" xfId="0" applyNumberFormat="1" applyFill="1" applyBorder="1" applyAlignment="1">
      <alignment/>
    </xf>
    <xf numFmtId="0" fontId="0" fillId="44" borderId="47" xfId="0" applyFill="1" applyBorder="1" applyAlignment="1">
      <alignment/>
    </xf>
    <xf numFmtId="1" fontId="0" fillId="44" borderId="56" xfId="0" applyNumberFormat="1" applyFill="1" applyBorder="1" applyAlignment="1">
      <alignment/>
    </xf>
    <xf numFmtId="1" fontId="0" fillId="44" borderId="58" xfId="0" applyNumberFormat="1" applyFill="1" applyBorder="1" applyAlignment="1">
      <alignment/>
    </xf>
    <xf numFmtId="1" fontId="0" fillId="44" borderId="62" xfId="0" applyNumberFormat="1" applyFill="1" applyBorder="1" applyAlignment="1">
      <alignment/>
    </xf>
    <xf numFmtId="1" fontId="0" fillId="44" borderId="59" xfId="0" applyNumberFormat="1" applyFill="1" applyBorder="1" applyAlignment="1">
      <alignment/>
    </xf>
    <xf numFmtId="0" fontId="0" fillId="0" borderId="47" xfId="0" applyFill="1" applyBorder="1" applyAlignment="1">
      <alignment/>
    </xf>
    <xf numFmtId="1" fontId="0" fillId="0" borderId="56" xfId="0" applyNumberFormat="1" applyFill="1" applyBorder="1" applyAlignment="1">
      <alignment/>
    </xf>
    <xf numFmtId="0" fontId="17" fillId="0" borderId="42" xfId="0" applyFont="1" applyFill="1" applyBorder="1" applyAlignment="1">
      <alignment/>
    </xf>
    <xf numFmtId="0" fontId="2" fillId="0" borderId="44" xfId="0" applyFont="1" applyFill="1" applyBorder="1" applyAlignment="1">
      <alignment/>
    </xf>
    <xf numFmtId="1" fontId="2" fillId="0" borderId="50" xfId="0" applyNumberFormat="1" applyFont="1" applyFill="1" applyBorder="1" applyAlignment="1">
      <alignment/>
    </xf>
    <xf numFmtId="1" fontId="2" fillId="0" borderId="41" xfId="0" applyNumberFormat="1" applyFont="1" applyBorder="1" applyAlignment="1">
      <alignment/>
    </xf>
    <xf numFmtId="0" fontId="2" fillId="0" borderId="47" xfId="0" applyFont="1" applyFill="1" applyBorder="1" applyAlignment="1">
      <alignment/>
    </xf>
    <xf numFmtId="1" fontId="0" fillId="0" borderId="50" xfId="0" applyNumberFormat="1" applyFill="1" applyBorder="1" applyAlignment="1">
      <alignment/>
    </xf>
    <xf numFmtId="0" fontId="2" fillId="0" borderId="17" xfId="0" applyFont="1" applyBorder="1" applyAlignment="1">
      <alignment/>
    </xf>
    <xf numFmtId="0" fontId="2" fillId="0" borderId="32" xfId="0" applyFont="1" applyBorder="1" applyAlignment="1">
      <alignment/>
    </xf>
    <xf numFmtId="0" fontId="2" fillId="0" borderId="12" xfId="0" applyFont="1" applyBorder="1" applyAlignment="1">
      <alignment/>
    </xf>
    <xf numFmtId="0" fontId="2" fillId="0" borderId="64" xfId="0" applyFont="1" applyFill="1" applyBorder="1" applyAlignment="1">
      <alignment/>
    </xf>
    <xf numFmtId="1" fontId="2" fillId="0" borderId="64" xfId="0" applyNumberFormat="1" applyFont="1" applyBorder="1" applyAlignment="1">
      <alignment/>
    </xf>
    <xf numFmtId="1" fontId="0" fillId="0" borderId="64" xfId="0" applyNumberFormat="1" applyFill="1" applyBorder="1" applyAlignment="1">
      <alignment/>
    </xf>
    <xf numFmtId="0" fontId="0" fillId="0" borderId="26" xfId="0" applyFill="1" applyBorder="1" applyAlignment="1">
      <alignment/>
    </xf>
    <xf numFmtId="0" fontId="0" fillId="0" borderId="26" xfId="0" applyBorder="1" applyAlignment="1">
      <alignment/>
    </xf>
    <xf numFmtId="0" fontId="0" fillId="0" borderId="32" xfId="0" applyBorder="1" applyAlignment="1">
      <alignment/>
    </xf>
    <xf numFmtId="0" fontId="0" fillId="0" borderId="16" xfId="0" applyBorder="1" applyAlignment="1">
      <alignment/>
    </xf>
    <xf numFmtId="9" fontId="0" fillId="0" borderId="16" xfId="0" applyNumberFormat="1" applyBorder="1" applyAlignment="1">
      <alignment/>
    </xf>
    <xf numFmtId="2" fontId="0" fillId="0" borderId="16" xfId="0" applyNumberFormat="1" applyBorder="1" applyAlignment="1">
      <alignment/>
    </xf>
    <xf numFmtId="0" fontId="0" fillId="0" borderId="17" xfId="0" applyBorder="1" applyAlignment="1">
      <alignment/>
    </xf>
    <xf numFmtId="0" fontId="0" fillId="0" borderId="46" xfId="0" applyFill="1" applyBorder="1" applyAlignment="1">
      <alignment/>
    </xf>
    <xf numFmtId="0" fontId="0" fillId="0" borderId="40" xfId="0" applyBorder="1" applyAlignment="1">
      <alignment/>
    </xf>
    <xf numFmtId="0" fontId="2" fillId="0" borderId="31" xfId="0" applyFont="1" applyFill="1" applyBorder="1" applyAlignment="1">
      <alignment/>
    </xf>
    <xf numFmtId="0" fontId="2" fillId="0" borderId="65" xfId="0" applyFont="1" applyBorder="1" applyAlignment="1">
      <alignment/>
    </xf>
    <xf numFmtId="0" fontId="2" fillId="0" borderId="34" xfId="0" applyFont="1" applyBorder="1" applyAlignment="1">
      <alignment/>
    </xf>
    <xf numFmtId="0" fontId="2" fillId="0" borderId="66" xfId="0" applyFont="1" applyBorder="1" applyAlignment="1">
      <alignment/>
    </xf>
    <xf numFmtId="0" fontId="0" fillId="0" borderId="23" xfId="0" applyBorder="1" applyAlignment="1">
      <alignment/>
    </xf>
    <xf numFmtId="9" fontId="0" fillId="0" borderId="52" xfId="0" applyNumberFormat="1" applyBorder="1" applyAlignment="1">
      <alignment/>
    </xf>
    <xf numFmtId="0" fontId="0" fillId="0" borderId="52" xfId="0" applyFill="1" applyBorder="1" applyAlignment="1">
      <alignment/>
    </xf>
    <xf numFmtId="0" fontId="0" fillId="0" borderId="52" xfId="0" applyBorder="1" applyAlignment="1">
      <alignment/>
    </xf>
    <xf numFmtId="2" fontId="0" fillId="0" borderId="52" xfId="0" applyNumberFormat="1" applyBorder="1" applyAlignment="1">
      <alignment/>
    </xf>
    <xf numFmtId="0" fontId="0" fillId="0" borderId="53" xfId="0" applyBorder="1" applyAlignment="1">
      <alignment/>
    </xf>
    <xf numFmtId="0" fontId="2" fillId="0" borderId="31" xfId="0" applyFont="1"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8" xfId="0" applyFill="1" applyBorder="1" applyAlignment="1">
      <alignment horizontal="center"/>
    </xf>
    <xf numFmtId="0" fontId="0" fillId="0" borderId="69" xfId="0" applyFill="1" applyBorder="1" applyAlignment="1">
      <alignment horizontal="center"/>
    </xf>
    <xf numFmtId="1" fontId="0" fillId="0" borderId="59" xfId="0" applyNumberFormat="1" applyBorder="1" applyAlignment="1">
      <alignment/>
    </xf>
    <xf numFmtId="1" fontId="0" fillId="0" borderId="61" xfId="0" applyNumberFormat="1" applyBorder="1" applyAlignment="1">
      <alignment/>
    </xf>
    <xf numFmtId="1" fontId="0" fillId="0" borderId="57" xfId="0" applyNumberFormat="1" applyBorder="1" applyAlignment="1">
      <alignment/>
    </xf>
    <xf numFmtId="0" fontId="0" fillId="0" borderId="61" xfId="0" applyBorder="1" applyAlignment="1">
      <alignment/>
    </xf>
    <xf numFmtId="0" fontId="0" fillId="0" borderId="57" xfId="0" applyBorder="1" applyAlignment="1">
      <alignment/>
    </xf>
    <xf numFmtId="0" fontId="2" fillId="0" borderId="39" xfId="0" applyFont="1" applyFill="1" applyBorder="1" applyAlignment="1">
      <alignment/>
    </xf>
    <xf numFmtId="0" fontId="0" fillId="0" borderId="29" xfId="0" applyBorder="1" applyAlignment="1">
      <alignment vertical="top" wrapText="1"/>
    </xf>
    <xf numFmtId="0" fontId="0" fillId="0" borderId="30" xfId="0" applyBorder="1" applyAlignment="1">
      <alignment vertical="top" wrapText="1"/>
    </xf>
    <xf numFmtId="0" fontId="2" fillId="0" borderId="0" xfId="0" applyFont="1" applyAlignment="1">
      <alignment vertical="top"/>
    </xf>
    <xf numFmtId="0" fontId="67" fillId="0" borderId="0" xfId="59" applyAlignment="1">
      <alignment vertical="top"/>
    </xf>
    <xf numFmtId="0" fontId="6" fillId="0" borderId="66" xfId="0" applyFont="1" applyBorder="1" applyAlignment="1">
      <alignment wrapText="1"/>
    </xf>
    <xf numFmtId="0" fontId="6" fillId="0" borderId="35" xfId="0" applyFont="1" applyBorder="1" applyAlignment="1">
      <alignment wrapText="1"/>
    </xf>
    <xf numFmtId="0" fontId="0" fillId="0" borderId="0" xfId="0" applyFont="1" applyAlignment="1">
      <alignment vertical="top" wrapText="1"/>
    </xf>
    <xf numFmtId="0" fontId="6" fillId="0" borderId="31" xfId="0" applyFont="1" applyBorder="1" applyAlignment="1">
      <alignment wrapText="1"/>
    </xf>
    <xf numFmtId="0" fontId="6" fillId="0" borderId="0" xfId="0" applyFont="1" applyBorder="1" applyAlignment="1">
      <alignment wrapText="1"/>
    </xf>
    <xf numFmtId="0" fontId="18" fillId="0" borderId="0" xfId="0" applyFont="1" applyAlignment="1">
      <alignment wrapText="1"/>
    </xf>
    <xf numFmtId="0" fontId="24" fillId="0" borderId="0" xfId="0" applyFont="1" applyAlignment="1">
      <alignment/>
    </xf>
    <xf numFmtId="0" fontId="24" fillId="0" borderId="0" xfId="0" applyFont="1" applyFill="1" applyBorder="1" applyAlignment="1">
      <alignment horizontal="center"/>
    </xf>
    <xf numFmtId="0" fontId="6" fillId="0" borderId="0" xfId="0" applyFont="1" applyFill="1" applyAlignment="1">
      <alignment wrapText="1"/>
    </xf>
    <xf numFmtId="0" fontId="24" fillId="0" borderId="0" xfId="0" applyFont="1" applyFill="1" applyAlignment="1">
      <alignment wrapText="1"/>
    </xf>
    <xf numFmtId="0" fontId="2" fillId="0" borderId="70" xfId="0" applyFont="1" applyFill="1" applyBorder="1" applyAlignment="1">
      <alignment horizontal="center"/>
    </xf>
    <xf numFmtId="0" fontId="0" fillId="0" borderId="71" xfId="0" applyFill="1" applyBorder="1" applyAlignment="1">
      <alignment horizontal="center"/>
    </xf>
    <xf numFmtId="0" fontId="0" fillId="0" borderId="52" xfId="0" applyFill="1" applyBorder="1" applyAlignment="1">
      <alignment horizontal="center"/>
    </xf>
    <xf numFmtId="0" fontId="0" fillId="0" borderId="20" xfId="0" applyFill="1" applyBorder="1" applyAlignment="1">
      <alignment horizontal="center"/>
    </xf>
    <xf numFmtId="0" fontId="0" fillId="0" borderId="53" xfId="0" applyFill="1" applyBorder="1" applyAlignment="1">
      <alignment horizontal="center"/>
    </xf>
    <xf numFmtId="0" fontId="0" fillId="0" borderId="66" xfId="0" applyFill="1" applyBorder="1" applyAlignment="1">
      <alignment horizontal="center"/>
    </xf>
    <xf numFmtId="0" fontId="0" fillId="0" borderId="23" xfId="0" applyFill="1" applyBorder="1" applyAlignment="1">
      <alignment horizontal="center"/>
    </xf>
    <xf numFmtId="9" fontId="0" fillId="0" borderId="52" xfId="0" applyNumberFormat="1" applyFill="1" applyBorder="1" applyAlignment="1">
      <alignment horizontal="center"/>
    </xf>
    <xf numFmtId="9" fontId="0" fillId="0" borderId="53" xfId="0" applyNumberFormat="1" applyFill="1" applyBorder="1" applyAlignment="1">
      <alignment horizontal="center"/>
    </xf>
    <xf numFmtId="0" fontId="2" fillId="0" borderId="64" xfId="0" applyFont="1" applyFill="1" applyBorder="1" applyAlignment="1">
      <alignment horizontal="center"/>
    </xf>
    <xf numFmtId="0" fontId="2" fillId="0" borderId="31" xfId="0" applyFont="1" applyFill="1" applyBorder="1" applyAlignment="1">
      <alignment horizontal="center"/>
    </xf>
    <xf numFmtId="0" fontId="0" fillId="0" borderId="0" xfId="0" applyAlignment="1">
      <alignment horizontal="center"/>
    </xf>
    <xf numFmtId="1" fontId="0" fillId="0" borderId="38" xfId="0" applyNumberFormat="1" applyFill="1" applyBorder="1" applyAlignment="1">
      <alignment horizontal="center"/>
    </xf>
    <xf numFmtId="0" fontId="23" fillId="0" borderId="0" xfId="0" applyFont="1" applyAlignment="1">
      <alignment/>
    </xf>
    <xf numFmtId="3" fontId="3" fillId="0" borderId="0" xfId="0" applyNumberFormat="1" applyFont="1" applyBorder="1" applyAlignment="1">
      <alignment horizontal="left" vertical="center"/>
    </xf>
    <xf numFmtId="0" fontId="0" fillId="0" borderId="0" xfId="0" applyAlignment="1">
      <alignment vertical="top"/>
    </xf>
    <xf numFmtId="0" fontId="0" fillId="0" borderId="47" xfId="0" applyFill="1" applyBorder="1" applyAlignment="1">
      <alignment horizontal="left"/>
    </xf>
    <xf numFmtId="0" fontId="26" fillId="0" borderId="0" xfId="0" applyFont="1" applyFill="1" applyAlignment="1">
      <alignment wrapText="1"/>
    </xf>
    <xf numFmtId="0" fontId="23" fillId="0" borderId="0" xfId="0" applyFont="1" applyFill="1" applyAlignment="1">
      <alignment wrapText="1"/>
    </xf>
    <xf numFmtId="0" fontId="24" fillId="0" borderId="0" xfId="0" applyFont="1" applyBorder="1" applyAlignment="1">
      <alignment/>
    </xf>
    <xf numFmtId="0" fontId="0" fillId="0" borderId="32" xfId="0" applyFill="1" applyBorder="1" applyAlignment="1" quotePrefix="1">
      <alignment horizontal="center"/>
    </xf>
    <xf numFmtId="0" fontId="0" fillId="0" borderId="53" xfId="0" applyFill="1" applyBorder="1" applyAlignment="1" quotePrefix="1">
      <alignment horizontal="center"/>
    </xf>
    <xf numFmtId="0" fontId="6" fillId="0" borderId="72" xfId="0" applyFont="1" applyBorder="1" applyAlignment="1">
      <alignment wrapText="1"/>
    </xf>
    <xf numFmtId="0" fontId="0" fillId="0" borderId="73" xfId="0" applyFont="1" applyFill="1" applyBorder="1" applyAlignment="1">
      <alignment horizontal="left"/>
    </xf>
    <xf numFmtId="0" fontId="6" fillId="0" borderId="74" xfId="0" applyFont="1" applyBorder="1" applyAlignment="1">
      <alignment wrapText="1"/>
    </xf>
    <xf numFmtId="0" fontId="3" fillId="0" borderId="29" xfId="0" applyFont="1" applyBorder="1" applyAlignment="1">
      <alignment horizontal="left" wrapText="1"/>
    </xf>
    <xf numFmtId="0" fontId="3" fillId="0" borderId="0" xfId="0" applyFont="1" applyAlignment="1">
      <alignment horizontal="left" wrapText="1"/>
    </xf>
    <xf numFmtId="0" fontId="4" fillId="0" borderId="0" xfId="0" applyFont="1" applyAlignment="1">
      <alignment vertical="top"/>
    </xf>
    <xf numFmtId="0" fontId="3" fillId="0" borderId="0" xfId="59" applyFont="1" applyAlignment="1">
      <alignment vertical="top" wrapText="1"/>
    </xf>
    <xf numFmtId="0" fontId="27" fillId="0" borderId="0" xfId="0" applyFont="1" applyAlignment="1">
      <alignment vertical="top"/>
    </xf>
    <xf numFmtId="0" fontId="28" fillId="0" borderId="0" xfId="59" applyFont="1" applyAlignment="1">
      <alignment vertical="top"/>
    </xf>
    <xf numFmtId="0" fontId="4" fillId="0" borderId="0" xfId="0" applyFont="1" applyAlignment="1">
      <alignment vertical="top" wrapText="1"/>
    </xf>
    <xf numFmtId="0" fontId="2" fillId="0" borderId="0" xfId="0" applyFont="1" applyFill="1" applyAlignment="1">
      <alignment vertical="top"/>
    </xf>
    <xf numFmtId="0" fontId="27" fillId="0" borderId="0" xfId="0" applyFont="1" applyFill="1" applyAlignment="1">
      <alignment vertical="top"/>
    </xf>
    <xf numFmtId="0" fontId="4" fillId="0" borderId="0" xfId="0" applyFont="1" applyFill="1" applyAlignment="1">
      <alignment vertical="top"/>
    </xf>
    <xf numFmtId="0" fontId="27" fillId="0" borderId="0" xfId="0" applyFont="1" applyFill="1" applyBorder="1" applyAlignment="1">
      <alignment vertical="top"/>
    </xf>
    <xf numFmtId="0" fontId="6" fillId="0" borderId="0" xfId="0" applyFont="1" applyFill="1" applyBorder="1" applyAlignment="1">
      <alignment vertical="top"/>
    </xf>
    <xf numFmtId="0" fontId="0" fillId="0" borderId="0" xfId="0" applyFont="1" applyFill="1" applyAlignment="1">
      <alignment vertical="top"/>
    </xf>
    <xf numFmtId="0" fontId="0" fillId="0" borderId="0" xfId="0" applyAlignment="1">
      <alignment vertical="top" wrapText="1"/>
    </xf>
    <xf numFmtId="0" fontId="3" fillId="0" borderId="0" xfId="0" applyFont="1" applyAlignment="1">
      <alignment vertical="top"/>
    </xf>
    <xf numFmtId="0" fontId="6" fillId="0" borderId="0" xfId="0" applyFont="1" applyFill="1" applyAlignment="1">
      <alignment vertical="top"/>
    </xf>
    <xf numFmtId="0" fontId="0" fillId="0" borderId="29" xfId="0" applyBorder="1" applyAlignment="1">
      <alignment horizontal="left" wrapText="1"/>
    </xf>
    <xf numFmtId="0" fontId="0" fillId="0" borderId="46" xfId="0" applyFont="1" applyFill="1" applyBorder="1" applyAlignment="1">
      <alignment/>
    </xf>
    <xf numFmtId="0" fontId="0" fillId="0" borderId="38" xfId="0" applyFont="1" applyFill="1" applyBorder="1" applyAlignment="1">
      <alignment/>
    </xf>
    <xf numFmtId="0" fontId="0" fillId="0" borderId="40" xfId="0" applyFont="1" applyFill="1" applyBorder="1" applyAlignment="1">
      <alignment/>
    </xf>
    <xf numFmtId="0" fontId="0" fillId="0" borderId="33" xfId="0" applyFont="1" applyFill="1" applyBorder="1" applyAlignment="1">
      <alignment/>
    </xf>
    <xf numFmtId="9" fontId="0" fillId="0" borderId="0" xfId="0" applyNumberFormat="1" applyFill="1" applyBorder="1" applyAlignment="1">
      <alignment horizontal="center"/>
    </xf>
    <xf numFmtId="0" fontId="0" fillId="0" borderId="31" xfId="0" applyFont="1" applyFill="1" applyBorder="1" applyAlignment="1">
      <alignment horizontal="left"/>
    </xf>
    <xf numFmtId="0" fontId="2" fillId="0" borderId="75" xfId="0" applyFont="1" applyFill="1" applyBorder="1" applyAlignment="1">
      <alignment horizontal="center"/>
    </xf>
    <xf numFmtId="0" fontId="0" fillId="0" borderId="54" xfId="0" applyFill="1" applyBorder="1" applyAlignment="1">
      <alignment horizontal="center"/>
    </xf>
    <xf numFmtId="0" fontId="0" fillId="0" borderId="55" xfId="0" applyFill="1" applyBorder="1" applyAlignment="1">
      <alignment horizontal="center"/>
    </xf>
    <xf numFmtId="9" fontId="0" fillId="0" borderId="55" xfId="0" applyNumberFormat="1" applyFill="1" applyBorder="1" applyAlignment="1">
      <alignment horizontal="center"/>
    </xf>
    <xf numFmtId="0" fontId="0" fillId="0" borderId="56" xfId="0" applyFill="1" applyBorder="1" applyAlignment="1">
      <alignment horizontal="center"/>
    </xf>
    <xf numFmtId="0" fontId="0" fillId="0" borderId="19" xfId="0" applyFill="1" applyBorder="1" applyAlignment="1">
      <alignment horizontal="center"/>
    </xf>
    <xf numFmtId="1" fontId="0" fillId="0" borderId="56" xfId="0" applyNumberFormat="1" applyFill="1" applyBorder="1" applyAlignment="1">
      <alignment horizontal="center"/>
    </xf>
    <xf numFmtId="0" fontId="0" fillId="0" borderId="72" xfId="0" applyFill="1" applyBorder="1" applyAlignment="1">
      <alignment horizontal="center"/>
    </xf>
    <xf numFmtId="0" fontId="0" fillId="0" borderId="25" xfId="0" applyFill="1" applyBorder="1" applyAlignment="1">
      <alignment horizontal="center"/>
    </xf>
    <xf numFmtId="9" fontId="0" fillId="0" borderId="56" xfId="0" applyNumberFormat="1" applyFill="1" applyBorder="1" applyAlignment="1">
      <alignment horizontal="center"/>
    </xf>
    <xf numFmtId="0" fontId="2" fillId="0" borderId="28" xfId="0" applyFont="1" applyFill="1" applyBorder="1" applyAlignment="1">
      <alignment horizontal="center"/>
    </xf>
    <xf numFmtId="0" fontId="5" fillId="0" borderId="31" xfId="0" applyFont="1" applyFill="1" applyBorder="1" applyAlignment="1">
      <alignment horizontal="left"/>
    </xf>
    <xf numFmtId="0" fontId="5" fillId="0" borderId="31" xfId="0" applyFont="1" applyFill="1" applyBorder="1" applyAlignment="1">
      <alignment horizontal="center"/>
    </xf>
    <xf numFmtId="0" fontId="24" fillId="0" borderId="31" xfId="0" applyFont="1" applyBorder="1" applyAlignment="1">
      <alignment wrapText="1"/>
    </xf>
    <xf numFmtId="0" fontId="0" fillId="0" borderId="73" xfId="0" applyBorder="1" applyAlignment="1">
      <alignment/>
    </xf>
    <xf numFmtId="0" fontId="0" fillId="0" borderId="68" xfId="0" applyBorder="1" applyAlignment="1">
      <alignment/>
    </xf>
    <xf numFmtId="0" fontId="0" fillId="0" borderId="76" xfId="0" applyFont="1" applyFill="1" applyBorder="1" applyAlignment="1">
      <alignment horizontal="left"/>
    </xf>
    <xf numFmtId="0" fontId="0" fillId="0" borderId="22" xfId="0" applyFill="1" applyBorder="1" applyAlignment="1">
      <alignment horizontal="center"/>
    </xf>
    <xf numFmtId="0" fontId="0" fillId="0" borderId="21" xfId="0" applyFill="1" applyBorder="1" applyAlignment="1">
      <alignment horizontal="center"/>
    </xf>
    <xf numFmtId="1" fontId="0" fillId="0" borderId="11" xfId="0" applyNumberFormat="1" applyFill="1" applyBorder="1" applyAlignment="1" quotePrefix="1">
      <alignment horizontal="center"/>
    </xf>
    <xf numFmtId="1" fontId="0" fillId="0" borderId="12" xfId="0" applyNumberFormat="1" applyFill="1" applyBorder="1" applyAlignment="1" quotePrefix="1">
      <alignment horizontal="center"/>
    </xf>
    <xf numFmtId="0" fontId="0" fillId="0" borderId="38" xfId="0" applyFont="1" applyFill="1" applyBorder="1" applyAlignment="1">
      <alignment horizontal="right"/>
    </xf>
    <xf numFmtId="0" fontId="75" fillId="0" borderId="31" xfId="0" applyFont="1" applyBorder="1" applyAlignment="1">
      <alignment horizontal="center" wrapText="1"/>
    </xf>
    <xf numFmtId="0" fontId="0" fillId="0" borderId="68" xfId="0" applyFont="1" applyBorder="1" applyAlignment="1">
      <alignment/>
    </xf>
    <xf numFmtId="0" fontId="3" fillId="0" borderId="73" xfId="0" applyFont="1" applyBorder="1" applyAlignment="1">
      <alignment wrapText="1"/>
    </xf>
    <xf numFmtId="0" fontId="3" fillId="0" borderId="68" xfId="0" applyFont="1" applyBorder="1" applyAlignment="1">
      <alignment wrapText="1"/>
    </xf>
    <xf numFmtId="0" fontId="3" fillId="0" borderId="68" xfId="0" applyFont="1" applyBorder="1" applyAlignment="1">
      <alignment/>
    </xf>
    <xf numFmtId="0" fontId="3" fillId="0" borderId="69" xfId="0" applyFont="1" applyBorder="1" applyAlignment="1">
      <alignment/>
    </xf>
    <xf numFmtId="0" fontId="3" fillId="0" borderId="67" xfId="0" applyFont="1" applyBorder="1" applyAlignment="1">
      <alignment/>
    </xf>
    <xf numFmtId="0" fontId="0" fillId="0" borderId="68" xfId="0" applyBorder="1" applyAlignment="1">
      <alignment wrapText="1"/>
    </xf>
    <xf numFmtId="0" fontId="5" fillId="0" borderId="39" xfId="0" applyFont="1" applyFill="1" applyBorder="1" applyAlignment="1">
      <alignment horizontal="left"/>
    </xf>
    <xf numFmtId="0" fontId="5" fillId="0" borderId="26" xfId="0" applyFont="1" applyFill="1" applyBorder="1" applyAlignment="1">
      <alignment horizontal="left"/>
    </xf>
    <xf numFmtId="0" fontId="0" fillId="0" borderId="68" xfId="0" applyFill="1" applyBorder="1" applyAlignment="1">
      <alignment/>
    </xf>
    <xf numFmtId="0" fontId="75" fillId="0" borderId="31" xfId="0" applyFont="1" applyBorder="1" applyAlignment="1">
      <alignment horizontal="center"/>
    </xf>
    <xf numFmtId="0" fontId="0" fillId="0" borderId="77" xfId="0" applyFont="1" applyBorder="1" applyAlignment="1">
      <alignment/>
    </xf>
    <xf numFmtId="0" fontId="76" fillId="0" borderId="31" xfId="0" applyFont="1" applyBorder="1" applyAlignment="1">
      <alignment/>
    </xf>
    <xf numFmtId="0" fontId="76" fillId="0" borderId="0" xfId="0" applyFont="1" applyAlignment="1">
      <alignment/>
    </xf>
    <xf numFmtId="0" fontId="76" fillId="0" borderId="74" xfId="0" applyFont="1" applyBorder="1" applyAlignment="1">
      <alignment horizontal="left"/>
    </xf>
    <xf numFmtId="0" fontId="0" fillId="0" borderId="46" xfId="0" applyFont="1" applyFill="1" applyBorder="1" applyAlignment="1">
      <alignment/>
    </xf>
    <xf numFmtId="0" fontId="0" fillId="0" borderId="38" xfId="0" applyFont="1" applyFill="1" applyBorder="1" applyAlignment="1">
      <alignment/>
    </xf>
    <xf numFmtId="0" fontId="76" fillId="0" borderId="40" xfId="0" applyFont="1" applyBorder="1" applyAlignment="1">
      <alignment/>
    </xf>
    <xf numFmtId="1" fontId="76" fillId="0" borderId="38" xfId="0" applyNumberFormat="1" applyFont="1" applyBorder="1" applyAlignment="1">
      <alignment horizontal="center"/>
    </xf>
    <xf numFmtId="0" fontId="76" fillId="0" borderId="36" xfId="0" applyFont="1" applyBorder="1" applyAlignment="1">
      <alignment/>
    </xf>
    <xf numFmtId="0" fontId="76" fillId="0" borderId="38" xfId="0" applyFont="1" applyBorder="1" applyAlignment="1">
      <alignment/>
    </xf>
    <xf numFmtId="0" fontId="76" fillId="0" borderId="24" xfId="0" applyFont="1" applyBorder="1" applyAlignment="1">
      <alignment/>
    </xf>
    <xf numFmtId="1" fontId="76" fillId="0" borderId="78" xfId="0" applyNumberFormat="1" applyFont="1" applyBorder="1" applyAlignment="1">
      <alignment horizontal="center"/>
    </xf>
    <xf numFmtId="0" fontId="74" fillId="0" borderId="0" xfId="0" applyFont="1" applyAlignment="1">
      <alignment/>
    </xf>
    <xf numFmtId="0" fontId="76" fillId="0" borderId="29" xfId="0" applyFont="1" applyBorder="1" applyAlignment="1">
      <alignment/>
    </xf>
    <xf numFmtId="0" fontId="76" fillId="0" borderId="30" xfId="0" applyFont="1" applyBorder="1" applyAlignment="1">
      <alignment/>
    </xf>
    <xf numFmtId="0" fontId="76" fillId="0" borderId="26" xfId="0" applyFont="1" applyBorder="1" applyAlignment="1">
      <alignment horizontal="left"/>
    </xf>
    <xf numFmtId="0" fontId="76" fillId="0" borderId="50" xfId="0" applyFont="1" applyBorder="1" applyAlignment="1">
      <alignment horizontal="center"/>
    </xf>
    <xf numFmtId="0" fontId="76" fillId="0" borderId="26" xfId="0" applyFont="1" applyBorder="1" applyAlignment="1">
      <alignment horizontal="center"/>
    </xf>
    <xf numFmtId="0" fontId="76" fillId="0" borderId="79" xfId="0" applyFont="1" applyBorder="1" applyAlignment="1">
      <alignment horizontal="center"/>
    </xf>
    <xf numFmtId="0" fontId="3" fillId="0" borderId="30" xfId="0" applyFont="1" applyBorder="1" applyAlignment="1">
      <alignment/>
    </xf>
    <xf numFmtId="0" fontId="76" fillId="0" borderId="24" xfId="0" applyFont="1" applyBorder="1" applyAlignment="1">
      <alignment horizontal="left"/>
    </xf>
    <xf numFmtId="9" fontId="76" fillId="0" borderId="25" xfId="0" applyNumberFormat="1" applyFont="1" applyBorder="1" applyAlignment="1">
      <alignment horizontal="center"/>
    </xf>
    <xf numFmtId="9" fontId="76" fillId="0" borderId="24" xfId="0" applyNumberFormat="1" applyFont="1" applyBorder="1" applyAlignment="1">
      <alignment horizontal="center"/>
    </xf>
    <xf numFmtId="9" fontId="76" fillId="0" borderId="23" xfId="0" applyNumberFormat="1" applyFont="1" applyBorder="1" applyAlignment="1">
      <alignment horizontal="center"/>
    </xf>
    <xf numFmtId="0" fontId="76" fillId="0" borderId="23" xfId="0" applyFont="1" applyBorder="1" applyAlignment="1">
      <alignment horizontal="center"/>
    </xf>
    <xf numFmtId="0" fontId="3" fillId="0" borderId="67" xfId="0" applyFont="1" applyBorder="1" applyAlignment="1">
      <alignment/>
    </xf>
    <xf numFmtId="1" fontId="3" fillId="0" borderId="16" xfId="0" applyNumberFormat="1" applyFont="1" applyFill="1" applyBorder="1" applyAlignment="1">
      <alignment horizontal="center"/>
    </xf>
    <xf numFmtId="1" fontId="3" fillId="0" borderId="17" xfId="0" applyNumberFormat="1" applyFont="1" applyFill="1" applyBorder="1" applyAlignment="1">
      <alignment horizontal="center"/>
    </xf>
    <xf numFmtId="0" fontId="3" fillId="0" borderId="73" xfId="0" applyFont="1" applyBorder="1" applyAlignment="1">
      <alignment/>
    </xf>
    <xf numFmtId="3" fontId="0" fillId="0" borderId="19" xfId="0" applyNumberFormat="1" applyFill="1" applyBorder="1" applyAlignment="1">
      <alignment horizontal="center"/>
    </xf>
    <xf numFmtId="0" fontId="0" fillId="0" borderId="69" xfId="0" applyFont="1" applyBorder="1" applyAlignment="1">
      <alignment/>
    </xf>
    <xf numFmtId="0" fontId="0" fillId="0" borderId="12" xfId="0" applyBorder="1" applyAlignment="1">
      <alignment horizontal="center"/>
    </xf>
    <xf numFmtId="0" fontId="0" fillId="0" borderId="32" xfId="0" applyBorder="1" applyAlignment="1">
      <alignment horizontal="center"/>
    </xf>
    <xf numFmtId="0" fontId="0" fillId="0" borderId="56" xfId="0" applyBorder="1" applyAlignment="1">
      <alignment horizontal="center"/>
    </xf>
    <xf numFmtId="38" fontId="0" fillId="0" borderId="19" xfId="0" applyNumberFormat="1" applyFill="1" applyBorder="1" applyAlignment="1">
      <alignment horizontal="center"/>
    </xf>
    <xf numFmtId="0" fontId="0" fillId="0" borderId="46" xfId="0" applyFont="1" applyFill="1" applyBorder="1" applyAlignment="1">
      <alignment/>
    </xf>
    <xf numFmtId="0" fontId="0" fillId="0" borderId="38" xfId="0" applyFont="1" applyFill="1" applyBorder="1" applyAlignment="1">
      <alignment/>
    </xf>
    <xf numFmtId="0" fontId="0" fillId="0" borderId="55"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44" xfId="0" applyFill="1" applyBorder="1" applyAlignment="1">
      <alignment horizontal="left"/>
    </xf>
    <xf numFmtId="0" fontId="0" fillId="0" borderId="62" xfId="0" applyFill="1" applyBorder="1" applyAlignment="1">
      <alignment horizontal="center"/>
    </xf>
    <xf numFmtId="0" fontId="0" fillId="0" borderId="59" xfId="0" applyFill="1" applyBorder="1" applyAlignment="1">
      <alignment horizontal="center"/>
    </xf>
    <xf numFmtId="3" fontId="0" fillId="0" borderId="54" xfId="0" applyNumberFormat="1" applyFill="1" applyBorder="1" applyAlignment="1">
      <alignment horizontal="center"/>
    </xf>
    <xf numFmtId="0" fontId="0" fillId="0" borderId="0" xfId="0" applyAlignment="1">
      <alignment wrapText="1"/>
    </xf>
    <xf numFmtId="2" fontId="0" fillId="45" borderId="33" xfId="0" applyNumberFormat="1" applyFill="1" applyBorder="1" applyAlignment="1">
      <alignment horizontal="center"/>
    </xf>
    <xf numFmtId="0" fontId="0" fillId="45" borderId="10" xfId="0" applyNumberFormat="1" applyFill="1" applyBorder="1" applyAlignment="1">
      <alignment horizontal="center"/>
    </xf>
    <xf numFmtId="2" fontId="0" fillId="45" borderId="10" xfId="0" applyNumberFormat="1" applyFill="1" applyBorder="1" applyAlignment="1">
      <alignment horizontal="center"/>
    </xf>
    <xf numFmtId="2" fontId="3" fillId="45" borderId="10" xfId="0" applyNumberFormat="1" applyFont="1" applyFill="1" applyBorder="1" applyAlignment="1">
      <alignment horizontal="center"/>
    </xf>
    <xf numFmtId="1" fontId="0" fillId="45" borderId="10" xfId="0" applyNumberFormat="1" applyFill="1" applyBorder="1" applyAlignment="1">
      <alignment horizontal="center"/>
    </xf>
    <xf numFmtId="2" fontId="0" fillId="45" borderId="32" xfId="0" applyNumberFormat="1" applyFill="1" applyBorder="1" applyAlignment="1">
      <alignment horizontal="center"/>
    </xf>
    <xf numFmtId="2" fontId="76" fillId="46" borderId="15" xfId="0" applyNumberFormat="1" applyFont="1" applyFill="1" applyBorder="1" applyAlignment="1">
      <alignment horizontal="center"/>
    </xf>
    <xf numFmtId="2" fontId="76" fillId="46" borderId="40" xfId="0" applyNumberFormat="1" applyFont="1" applyFill="1" applyBorder="1" applyAlignment="1">
      <alignment horizontal="center"/>
    </xf>
    <xf numFmtId="2" fontId="0" fillId="45" borderId="16" xfId="0" applyNumberFormat="1" applyFill="1" applyBorder="1" applyAlignment="1">
      <alignment horizontal="center"/>
    </xf>
    <xf numFmtId="0" fontId="0" fillId="45" borderId="16" xfId="0" applyNumberFormat="1" applyFill="1" applyBorder="1" applyAlignment="1">
      <alignment horizontal="center"/>
    </xf>
    <xf numFmtId="2" fontId="3" fillId="45" borderId="16" xfId="0" applyNumberFormat="1" applyFont="1" applyFill="1" applyBorder="1" applyAlignment="1">
      <alignment horizontal="center"/>
    </xf>
    <xf numFmtId="1" fontId="0" fillId="45" borderId="16" xfId="0" applyNumberFormat="1" applyFill="1" applyBorder="1" applyAlignment="1">
      <alignment horizontal="center"/>
    </xf>
    <xf numFmtId="2" fontId="0" fillId="45" borderId="17" xfId="0" applyNumberFormat="1" applyFill="1" applyBorder="1" applyAlignment="1">
      <alignment horizontal="center"/>
    </xf>
    <xf numFmtId="0" fontId="0" fillId="0" borderId="46" xfId="0" applyFont="1" applyFill="1" applyBorder="1" applyAlignment="1">
      <alignment horizontal="right"/>
    </xf>
    <xf numFmtId="1" fontId="0" fillId="0" borderId="38" xfId="0" applyNumberFormat="1" applyFill="1" applyBorder="1" applyAlignment="1" quotePrefix="1">
      <alignment horizontal="center"/>
    </xf>
    <xf numFmtId="1" fontId="0" fillId="0" borderId="80" xfId="0" applyNumberFormat="1" applyFill="1" applyBorder="1" applyAlignment="1" quotePrefix="1">
      <alignment horizontal="center"/>
    </xf>
    <xf numFmtId="1" fontId="0" fillId="0" borderId="0" xfId="0" applyNumberFormat="1" applyAlignment="1">
      <alignment/>
    </xf>
    <xf numFmtId="0" fontId="73" fillId="47" borderId="10" xfId="0" applyFont="1" applyFill="1" applyBorder="1" applyAlignment="1">
      <alignment horizontal="right"/>
    </xf>
    <xf numFmtId="0" fontId="3" fillId="17" borderId="18" xfId="0" applyFont="1" applyFill="1" applyBorder="1" applyAlignment="1">
      <alignment/>
    </xf>
    <xf numFmtId="0" fontId="3" fillId="17" borderId="19" xfId="0" applyFont="1" applyFill="1" applyBorder="1" applyAlignment="1">
      <alignment/>
    </xf>
    <xf numFmtId="1" fontId="0" fillId="0" borderId="46" xfId="0" applyNumberFormat="1" applyFill="1" applyBorder="1" applyAlignment="1">
      <alignment horizontal="center"/>
    </xf>
    <xf numFmtId="0" fontId="2" fillId="0" borderId="70" xfId="0" applyFont="1" applyFill="1" applyBorder="1" applyAlignment="1">
      <alignment horizontal="center" wrapText="1"/>
    </xf>
    <xf numFmtId="0" fontId="73" fillId="0" borderId="0" xfId="0" applyFont="1" applyAlignment="1">
      <alignment horizontal="center"/>
    </xf>
    <xf numFmtId="0" fontId="0" fillId="47" borderId="55" xfId="0" applyFill="1" applyBorder="1" applyAlignment="1">
      <alignment horizontal="center"/>
    </xf>
    <xf numFmtId="0" fontId="0" fillId="47" borderId="10" xfId="0" applyFill="1" applyBorder="1" applyAlignment="1">
      <alignment horizontal="center"/>
    </xf>
    <xf numFmtId="0" fontId="77" fillId="0" borderId="0" xfId="0" applyFont="1" applyFill="1" applyAlignment="1">
      <alignment wrapText="1"/>
    </xf>
    <xf numFmtId="0" fontId="77" fillId="0" borderId="0" xfId="0" applyFont="1" applyAlignment="1">
      <alignment wrapText="1"/>
    </xf>
    <xf numFmtId="0" fontId="0" fillId="0" borderId="40" xfId="0" applyFont="1" applyFill="1" applyBorder="1" applyAlignment="1">
      <alignment/>
    </xf>
    <xf numFmtId="0" fontId="0" fillId="0" borderId="16" xfId="0" applyFill="1" applyBorder="1" applyAlignment="1">
      <alignment/>
    </xf>
    <xf numFmtId="0" fontId="0" fillId="0" borderId="10" xfId="0" applyFill="1" applyBorder="1" applyAlignment="1">
      <alignment/>
    </xf>
    <xf numFmtId="0" fontId="0" fillId="48" borderId="73" xfId="0" applyFill="1" applyBorder="1" applyAlignment="1">
      <alignment horizontal="center"/>
    </xf>
    <xf numFmtId="0" fontId="0" fillId="48" borderId="68" xfId="0" applyFill="1" applyBorder="1" applyAlignment="1">
      <alignment horizontal="center"/>
    </xf>
    <xf numFmtId="1" fontId="0" fillId="48" borderId="68" xfId="0" applyNumberFormat="1" applyFill="1" applyBorder="1" applyAlignment="1">
      <alignment horizontal="center"/>
    </xf>
    <xf numFmtId="9" fontId="0" fillId="48" borderId="68" xfId="0" applyNumberFormat="1" applyFill="1" applyBorder="1" applyAlignment="1">
      <alignment horizontal="center"/>
    </xf>
    <xf numFmtId="0" fontId="0" fillId="48" borderId="69" xfId="0" applyFill="1" applyBorder="1" applyAlignment="1">
      <alignment horizontal="center"/>
    </xf>
    <xf numFmtId="3" fontId="0" fillId="48" borderId="77" xfId="0" applyNumberFormat="1" applyFill="1" applyBorder="1" applyAlignment="1">
      <alignment horizontal="center"/>
    </xf>
    <xf numFmtId="0" fontId="0" fillId="48" borderId="77" xfId="0" applyFill="1" applyBorder="1" applyAlignment="1">
      <alignment horizontal="center"/>
    </xf>
    <xf numFmtId="0" fontId="0" fillId="48" borderId="29" xfId="0" applyFill="1" applyBorder="1" applyAlignment="1">
      <alignment horizontal="center"/>
    </xf>
    <xf numFmtId="1" fontId="0" fillId="48" borderId="69" xfId="0" applyNumberFormat="1" applyFill="1" applyBorder="1" applyAlignment="1">
      <alignment horizontal="center"/>
    </xf>
    <xf numFmtId="0" fontId="0" fillId="48" borderId="31" xfId="0" applyFill="1" applyBorder="1" applyAlignment="1">
      <alignment horizontal="center"/>
    </xf>
    <xf numFmtId="0" fontId="0" fillId="48" borderId="67" xfId="0" applyFill="1" applyBorder="1" applyAlignment="1">
      <alignment horizontal="center"/>
    </xf>
    <xf numFmtId="9" fontId="0" fillId="48" borderId="69" xfId="0" applyNumberFormat="1" applyFill="1" applyBorder="1" applyAlignment="1">
      <alignment horizontal="center"/>
    </xf>
    <xf numFmtId="1" fontId="0" fillId="0" borderId="25" xfId="0" applyNumberFormat="1" applyFill="1" applyBorder="1" applyAlignment="1">
      <alignment horizontal="center"/>
    </xf>
    <xf numFmtId="1" fontId="0" fillId="0" borderId="33" xfId="0" applyNumberFormat="1" applyFill="1" applyBorder="1" applyAlignment="1">
      <alignment horizontal="center"/>
    </xf>
    <xf numFmtId="1" fontId="0" fillId="0" borderId="55" xfId="0" applyNumberFormat="1" applyFill="1" applyBorder="1" applyAlignment="1">
      <alignment horizontal="center"/>
    </xf>
    <xf numFmtId="1" fontId="0" fillId="0" borderId="10" xfId="0" applyNumberFormat="1" applyFill="1" applyBorder="1" applyAlignment="1">
      <alignment horizontal="center"/>
    </xf>
    <xf numFmtId="1" fontId="3" fillId="0" borderId="10" xfId="0" applyNumberFormat="1" applyFont="1" applyFill="1" applyBorder="1" applyAlignment="1">
      <alignment horizontal="center"/>
    </xf>
    <xf numFmtId="0" fontId="3" fillId="49" borderId="31" xfId="0" applyFont="1" applyFill="1" applyBorder="1" applyAlignment="1">
      <alignment/>
    </xf>
    <xf numFmtId="0" fontId="3" fillId="0" borderId="69" xfId="0" applyFont="1" applyBorder="1" applyAlignment="1">
      <alignment wrapText="1"/>
    </xf>
    <xf numFmtId="0" fontId="3" fillId="0" borderId="31" xfId="0" applyFont="1" applyBorder="1" applyAlignment="1">
      <alignment wrapText="1"/>
    </xf>
    <xf numFmtId="0" fontId="6" fillId="0" borderId="0" xfId="0" applyFont="1" applyAlignment="1">
      <alignment vertical="center"/>
    </xf>
    <xf numFmtId="0" fontId="27" fillId="0" borderId="0" xfId="0" applyFont="1" applyAlignment="1">
      <alignment vertical="center" wrapText="1"/>
    </xf>
    <xf numFmtId="0" fontId="4" fillId="41" borderId="20" xfId="0" applyFont="1" applyFill="1" applyBorder="1" applyAlignment="1">
      <alignment/>
    </xf>
    <xf numFmtId="0" fontId="27" fillId="17" borderId="20" xfId="0" applyFont="1" applyFill="1" applyBorder="1" applyAlignment="1">
      <alignment/>
    </xf>
    <xf numFmtId="0" fontId="4" fillId="40" borderId="20" xfId="0" applyFont="1" applyFill="1" applyBorder="1" applyAlignment="1">
      <alignment/>
    </xf>
    <xf numFmtId="0" fontId="3" fillId="0" borderId="77" xfId="0" applyFont="1" applyBorder="1" applyAlignment="1">
      <alignment wrapText="1"/>
    </xf>
    <xf numFmtId="0" fontId="1" fillId="0" borderId="0" xfId="0" applyFont="1" applyAlignment="1">
      <alignment vertical="top" wrapText="1"/>
    </xf>
    <xf numFmtId="3" fontId="0" fillId="0" borderId="20" xfId="0" applyNumberFormat="1" applyFill="1" applyBorder="1" applyAlignment="1">
      <alignment horizontal="center"/>
    </xf>
    <xf numFmtId="0" fontId="78" fillId="0" borderId="0" xfId="0" applyFont="1" applyAlignment="1">
      <alignment vertical="top"/>
    </xf>
    <xf numFmtId="0" fontId="78" fillId="0" borderId="0" xfId="0" applyFont="1" applyAlignment="1">
      <alignment vertical="top" wrapText="1"/>
    </xf>
    <xf numFmtId="0" fontId="78" fillId="0" borderId="0" xfId="0" applyFont="1" applyFill="1" applyAlignment="1">
      <alignment vertical="top"/>
    </xf>
    <xf numFmtId="0" fontId="6" fillId="49" borderId="13" xfId="0" applyFont="1" applyFill="1" applyBorder="1" applyAlignment="1">
      <alignment horizontal="right" vertical="center"/>
    </xf>
    <xf numFmtId="0" fontId="0" fillId="43" borderId="21" xfId="0" applyFill="1" applyBorder="1" applyAlignment="1">
      <alignment horizontal="left" vertical="top" wrapText="1"/>
    </xf>
    <xf numFmtId="0" fontId="0" fillId="43" borderId="0" xfId="0" applyFill="1" applyBorder="1" applyAlignment="1">
      <alignment horizontal="left" vertical="top" wrapText="1"/>
    </xf>
    <xf numFmtId="0" fontId="0" fillId="43" borderId="22" xfId="0" applyFill="1" applyBorder="1" applyAlignment="1">
      <alignment horizontal="left" vertical="top" wrapText="1"/>
    </xf>
    <xf numFmtId="0" fontId="0" fillId="0" borderId="16" xfId="0" applyFill="1" applyBorder="1" applyAlignment="1">
      <alignment/>
    </xf>
    <xf numFmtId="0" fontId="0" fillId="0" borderId="10" xfId="0" applyFill="1" applyBorder="1" applyAlignment="1">
      <alignment/>
    </xf>
    <xf numFmtId="0" fontId="0" fillId="0" borderId="0" xfId="0" applyAlignment="1">
      <alignment wrapText="1"/>
    </xf>
    <xf numFmtId="0" fontId="27" fillId="0" borderId="0" xfId="59" applyFont="1" applyAlignment="1">
      <alignment vertical="top"/>
    </xf>
    <xf numFmtId="3" fontId="6" fillId="49" borderId="32" xfId="0" applyNumberFormat="1" applyFont="1" applyFill="1" applyBorder="1" applyAlignment="1">
      <alignment horizontal="right" vertical="center"/>
    </xf>
    <xf numFmtId="3" fontId="6" fillId="49" borderId="10" xfId="0" applyNumberFormat="1" applyFont="1" applyFill="1" applyBorder="1" applyAlignment="1">
      <alignment horizontal="right" vertical="center"/>
    </xf>
    <xf numFmtId="0" fontId="67" fillId="0" borderId="0" xfId="59" applyAlignment="1">
      <alignment/>
    </xf>
    <xf numFmtId="0" fontId="3" fillId="0" borderId="0" xfId="59" applyFont="1" applyAlignment="1">
      <alignment/>
    </xf>
    <xf numFmtId="0" fontId="3" fillId="49" borderId="14" xfId="0" applyFont="1" applyFill="1" applyBorder="1" applyAlignment="1">
      <alignment wrapText="1"/>
    </xf>
    <xf numFmtId="0" fontId="3" fillId="49" borderId="11" xfId="0" applyFont="1" applyFill="1" applyBorder="1" applyAlignment="1">
      <alignment wrapText="1"/>
    </xf>
    <xf numFmtId="0" fontId="3" fillId="49" borderId="12" xfId="0" applyFont="1" applyFill="1" applyBorder="1" applyAlignment="1">
      <alignment wrapText="1"/>
    </xf>
    <xf numFmtId="1" fontId="2" fillId="0" borderId="65" xfId="0" applyNumberFormat="1" applyFont="1" applyFill="1" applyBorder="1" applyAlignment="1">
      <alignment horizontal="center"/>
    </xf>
    <xf numFmtId="1" fontId="2" fillId="0" borderId="72" xfId="0" applyNumberFormat="1" applyFont="1" applyFill="1" applyBorder="1" applyAlignment="1">
      <alignment horizontal="center"/>
    </xf>
    <xf numFmtId="1" fontId="2" fillId="0" borderId="74" xfId="0" applyNumberFormat="1" applyFont="1" applyFill="1" applyBorder="1" applyAlignment="1">
      <alignment horizontal="center"/>
    </xf>
    <xf numFmtId="0" fontId="27" fillId="0" borderId="0" xfId="0" applyFont="1" applyFill="1" applyBorder="1" applyAlignment="1">
      <alignment vertical="top"/>
    </xf>
    <xf numFmtId="1" fontId="2" fillId="0" borderId="64" xfId="0" applyNumberFormat="1" applyFont="1" applyFill="1" applyBorder="1" applyAlignment="1">
      <alignment vertical="center"/>
    </xf>
    <xf numFmtId="0" fontId="3" fillId="0" borderId="73" xfId="0" applyFont="1" applyFill="1" applyBorder="1" applyAlignment="1">
      <alignment horizontal="left" vertical="center" wrapText="1"/>
    </xf>
    <xf numFmtId="0" fontId="3" fillId="0" borderId="54" xfId="0" applyFont="1" applyFill="1" applyBorder="1" applyAlignment="1">
      <alignment vertical="center" wrapText="1"/>
    </xf>
    <xf numFmtId="0" fontId="3" fillId="0" borderId="68" xfId="0" applyFont="1" applyFill="1" applyBorder="1" applyAlignment="1">
      <alignment horizontal="left" vertical="center" wrapText="1"/>
    </xf>
    <xf numFmtId="0" fontId="3" fillId="0" borderId="55" xfId="0" applyFont="1" applyFill="1" applyBorder="1" applyAlignment="1">
      <alignment vertical="center" wrapText="1"/>
    </xf>
    <xf numFmtId="0" fontId="3" fillId="0" borderId="13" xfId="0" applyFont="1" applyFill="1" applyBorder="1" applyAlignment="1">
      <alignment vertical="center" wrapText="1"/>
    </xf>
    <xf numFmtId="0" fontId="3" fillId="0" borderId="10" xfId="0" applyFont="1" applyFill="1" applyBorder="1" applyAlignment="1">
      <alignment vertical="center" wrapText="1"/>
    </xf>
    <xf numFmtId="0" fontId="3" fillId="49" borderId="14" xfId="0" applyFont="1" applyFill="1" applyBorder="1" applyAlignment="1">
      <alignment vertical="center" wrapText="1"/>
    </xf>
    <xf numFmtId="0" fontId="3" fillId="0" borderId="11" xfId="0" applyFont="1" applyFill="1" applyBorder="1" applyAlignment="1">
      <alignment vertical="center" wrapText="1"/>
    </xf>
    <xf numFmtId="0" fontId="0" fillId="0" borderId="68" xfId="0" applyFont="1" applyFill="1" applyBorder="1" applyAlignment="1">
      <alignment horizontal="left" vertical="center" wrapText="1"/>
    </xf>
    <xf numFmtId="0" fontId="3" fillId="49" borderId="11" xfId="0" applyFont="1" applyFill="1" applyBorder="1" applyAlignment="1">
      <alignment vertical="center" wrapText="1"/>
    </xf>
    <xf numFmtId="0" fontId="3" fillId="49" borderId="11" xfId="0" applyFont="1" applyFill="1" applyBorder="1" applyAlignment="1">
      <alignment vertical="center" wrapText="1"/>
    </xf>
    <xf numFmtId="0" fontId="0" fillId="0" borderId="10" xfId="0" applyFont="1" applyFill="1" applyBorder="1" applyAlignment="1">
      <alignment vertical="center" wrapText="1"/>
    </xf>
    <xf numFmtId="0" fontId="3" fillId="0" borderId="69" xfId="0" applyFont="1" applyFill="1" applyBorder="1" applyAlignment="1">
      <alignment horizontal="left" vertical="center" wrapText="1"/>
    </xf>
    <xf numFmtId="0" fontId="3" fillId="0" borderId="56" xfId="0" applyFont="1" applyFill="1" applyBorder="1" applyAlignment="1">
      <alignment vertical="center" wrapText="1"/>
    </xf>
    <xf numFmtId="0" fontId="3" fillId="0" borderId="32" xfId="0" applyFont="1" applyFill="1" applyBorder="1" applyAlignment="1">
      <alignment vertical="center" wrapText="1"/>
    </xf>
    <xf numFmtId="0" fontId="6"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0" fillId="0" borderId="28" xfId="0" applyFont="1" applyFill="1" applyBorder="1" applyAlignment="1">
      <alignment horizontal="left" vertical="center"/>
    </xf>
    <xf numFmtId="0" fontId="0" fillId="0" borderId="49" xfId="0" applyFont="1" applyFill="1" applyBorder="1" applyAlignment="1">
      <alignment vertical="center" wrapText="1"/>
    </xf>
    <xf numFmtId="0" fontId="0" fillId="0" borderId="77" xfId="0" applyFont="1" applyFill="1" applyBorder="1" applyAlignment="1">
      <alignment horizontal="left" vertical="center"/>
    </xf>
    <xf numFmtId="0" fontId="0" fillId="0" borderId="68" xfId="0" applyFont="1" applyFill="1" applyBorder="1" applyAlignment="1">
      <alignment horizontal="left" vertical="center"/>
    </xf>
    <xf numFmtId="0" fontId="3" fillId="0" borderId="59" xfId="0" applyFont="1" applyFill="1" applyBorder="1" applyAlignment="1">
      <alignment vertical="center" wrapText="1"/>
    </xf>
    <xf numFmtId="0" fontId="0" fillId="0" borderId="69" xfId="0" applyFont="1" applyFill="1" applyBorder="1" applyAlignment="1">
      <alignment horizontal="left" vertical="center"/>
    </xf>
    <xf numFmtId="0" fontId="3" fillId="0" borderId="32" xfId="0" applyFont="1" applyFill="1" applyBorder="1" applyAlignment="1">
      <alignment vertical="center" wrapText="1"/>
    </xf>
    <xf numFmtId="0" fontId="3" fillId="0" borderId="12" xfId="0" applyFont="1" applyFill="1" applyBorder="1" applyAlignment="1">
      <alignment vertical="center" wrapText="1"/>
    </xf>
    <xf numFmtId="0" fontId="0" fillId="0" borderId="29" xfId="0" applyFont="1" applyFill="1" applyBorder="1" applyAlignment="1">
      <alignment horizontal="left" vertical="center"/>
    </xf>
    <xf numFmtId="0" fontId="3" fillId="0" borderId="22" xfId="0" applyFont="1" applyFill="1" applyBorder="1" applyAlignment="1">
      <alignment vertical="center" wrapText="1"/>
    </xf>
    <xf numFmtId="0" fontId="3" fillId="0" borderId="51" xfId="0" applyFont="1" applyFill="1" applyBorder="1" applyAlignment="1">
      <alignment vertical="center" wrapText="1"/>
    </xf>
    <xf numFmtId="0" fontId="0" fillId="0" borderId="73" xfId="0" applyFont="1" applyFill="1" applyBorder="1" applyAlignment="1">
      <alignment horizontal="left" vertical="center"/>
    </xf>
    <xf numFmtId="0" fontId="3" fillId="0" borderId="64" xfId="0" applyFont="1" applyFill="1" applyBorder="1" applyAlignment="1">
      <alignment vertical="center" wrapText="1"/>
    </xf>
    <xf numFmtId="0" fontId="6" fillId="0" borderId="11" xfId="0" applyFont="1" applyFill="1" applyBorder="1" applyAlignment="1">
      <alignment vertical="center" wrapText="1"/>
    </xf>
    <xf numFmtId="0" fontId="3" fillId="0" borderId="0" xfId="59" applyFont="1" applyAlignment="1">
      <alignment vertical="top"/>
    </xf>
    <xf numFmtId="0" fontId="27" fillId="0" borderId="0" xfId="0" applyFont="1" applyAlignment="1">
      <alignment vertical="top"/>
    </xf>
    <xf numFmtId="0" fontId="27" fillId="0" borderId="0" xfId="0" applyFont="1" applyFill="1" applyAlignment="1">
      <alignment vertical="top"/>
    </xf>
    <xf numFmtId="0" fontId="3" fillId="0" borderId="46"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5" xfId="0" applyFont="1" applyBorder="1" applyAlignment="1">
      <alignment vertical="center" wrapText="1"/>
    </xf>
    <xf numFmtId="0" fontId="3" fillId="0" borderId="27" xfId="0" applyFont="1" applyFill="1" applyBorder="1" applyAlignment="1">
      <alignment vertical="center" wrapText="1"/>
    </xf>
    <xf numFmtId="0" fontId="3" fillId="0" borderId="43"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55" xfId="0" applyFont="1" applyFill="1" applyBorder="1" applyAlignment="1">
      <alignment vertical="center" wrapText="1"/>
    </xf>
    <xf numFmtId="0" fontId="0" fillId="0" borderId="55" xfId="0" applyFill="1" applyBorder="1" applyAlignment="1">
      <alignment vertical="center" wrapText="1"/>
    </xf>
    <xf numFmtId="0" fontId="3" fillId="0" borderId="55" xfId="0" applyFont="1" applyBorder="1" applyAlignment="1">
      <alignment vertical="center" wrapText="1"/>
    </xf>
    <xf numFmtId="0" fontId="2" fillId="0" borderId="11" xfId="0" applyFont="1" applyFill="1" applyBorder="1" applyAlignment="1">
      <alignment vertical="center"/>
    </xf>
    <xf numFmtId="0" fontId="6" fillId="0" borderId="11" xfId="0" applyFont="1" applyBorder="1" applyAlignment="1">
      <alignment vertical="center" wrapText="1"/>
    </xf>
    <xf numFmtId="0" fontId="3" fillId="0" borderId="19" xfId="0" applyFont="1" applyBorder="1" applyAlignment="1">
      <alignment vertical="center" wrapText="1"/>
    </xf>
    <xf numFmtId="0" fontId="3" fillId="0" borderId="56" xfId="0" applyFont="1" applyBorder="1" applyAlignment="1">
      <alignment vertical="center" wrapText="1"/>
    </xf>
    <xf numFmtId="0" fontId="6" fillId="0" borderId="12" xfId="0" applyFont="1" applyBorder="1" applyAlignment="1">
      <alignment vertical="center" wrapText="1"/>
    </xf>
    <xf numFmtId="0" fontId="3" fillId="0" borderId="0" xfId="0" applyFont="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Border="1" applyAlignment="1">
      <alignment vertical="center" wrapText="1"/>
    </xf>
    <xf numFmtId="0" fontId="6" fillId="0" borderId="0" xfId="0" applyFont="1" applyBorder="1" applyAlignment="1">
      <alignment vertical="center" wrapText="1"/>
    </xf>
    <xf numFmtId="0" fontId="3" fillId="0" borderId="0" xfId="0" applyFont="1" applyBorder="1" applyAlignment="1">
      <alignment horizontal="left" vertical="center" wrapText="1"/>
    </xf>
    <xf numFmtId="0" fontId="3" fillId="0" borderId="0" xfId="0" applyFont="1" applyAlignment="1">
      <alignment vertical="center" wrapText="1"/>
    </xf>
    <xf numFmtId="0" fontId="2" fillId="0" borderId="72"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3" fillId="0" borderId="25" xfId="0" applyFont="1" applyFill="1" applyBorder="1" applyAlignment="1">
      <alignment vertical="center" wrapText="1"/>
    </xf>
    <xf numFmtId="0" fontId="3" fillId="0" borderId="27" xfId="0" applyFont="1" applyBorder="1" applyAlignment="1">
      <alignment vertical="center" wrapText="1"/>
    </xf>
    <xf numFmtId="0" fontId="3" fillId="0" borderId="33" xfId="0" applyFont="1" applyFill="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72" xfId="0" applyFont="1" applyBorder="1" applyAlignment="1">
      <alignment vertical="center" wrapText="1"/>
    </xf>
    <xf numFmtId="0" fontId="3" fillId="0" borderId="35" xfId="0" applyFont="1" applyBorder="1" applyAlignment="1">
      <alignment vertical="center" wrapText="1"/>
    </xf>
    <xf numFmtId="0" fontId="6" fillId="0" borderId="0" xfId="0" applyFont="1" applyAlignment="1">
      <alignment vertical="top"/>
    </xf>
    <xf numFmtId="0" fontId="6" fillId="0" borderId="0" xfId="59" applyFont="1" applyAlignment="1">
      <alignment vertical="top"/>
    </xf>
    <xf numFmtId="0" fontId="78" fillId="0" borderId="0" xfId="59" applyFont="1" applyAlignment="1">
      <alignment vertical="top"/>
    </xf>
    <xf numFmtId="0" fontId="6" fillId="0" borderId="27" xfId="0" applyFont="1" applyFill="1" applyBorder="1" applyAlignment="1">
      <alignment vertical="center" wrapText="1"/>
    </xf>
    <xf numFmtId="164" fontId="0" fillId="45" borderId="10" xfId="0" applyNumberFormat="1" applyFill="1" applyBorder="1" applyAlignment="1">
      <alignment horizontal="center"/>
    </xf>
    <xf numFmtId="2" fontId="31" fillId="45" borderId="81" xfId="0" applyNumberFormat="1" applyFont="1" applyFill="1" applyBorder="1" applyAlignment="1" applyProtection="1">
      <alignment horizontal="center" wrapText="1"/>
      <protection/>
    </xf>
    <xf numFmtId="0" fontId="0" fillId="0" borderId="21" xfId="0" applyFill="1" applyBorder="1" applyAlignment="1" quotePrefix="1">
      <alignment horizontal="center"/>
    </xf>
    <xf numFmtId="0" fontId="0" fillId="0" borderId="52" xfId="0" applyFill="1" applyBorder="1" applyAlignment="1" quotePrefix="1">
      <alignment horizontal="center"/>
    </xf>
    <xf numFmtId="0" fontId="3" fillId="49" borderId="52" xfId="0" applyFont="1" applyFill="1" applyBorder="1" applyAlignment="1" quotePrefix="1">
      <alignment horizontal="center"/>
    </xf>
    <xf numFmtId="1" fontId="0" fillId="48" borderId="40" xfId="0" applyNumberFormat="1" applyFill="1" applyBorder="1" applyAlignment="1">
      <alignment horizontal="center"/>
    </xf>
    <xf numFmtId="1" fontId="0" fillId="48" borderId="38" xfId="0" applyNumberFormat="1" applyFill="1" applyBorder="1" applyAlignment="1">
      <alignment horizontal="center"/>
    </xf>
    <xf numFmtId="1" fontId="0" fillId="48" borderId="16" xfId="0" applyNumberFormat="1" applyFill="1" applyBorder="1" applyAlignment="1">
      <alignment horizontal="center"/>
    </xf>
    <xf numFmtId="1" fontId="0" fillId="48" borderId="36" xfId="0" applyNumberFormat="1" applyFill="1" applyBorder="1" applyAlignment="1">
      <alignment horizontal="center"/>
    </xf>
    <xf numFmtId="1" fontId="0" fillId="48" borderId="36" xfId="0" applyNumberFormat="1" applyFill="1" applyBorder="1" applyAlignment="1" quotePrefix="1">
      <alignment horizontal="center"/>
    </xf>
    <xf numFmtId="1" fontId="0" fillId="48" borderId="17" xfId="0" applyNumberFormat="1" applyFill="1" applyBorder="1" applyAlignment="1">
      <alignment horizontal="center"/>
    </xf>
    <xf numFmtId="1" fontId="0" fillId="48" borderId="37" xfId="0" applyNumberFormat="1" applyFill="1" applyBorder="1" applyAlignment="1" quotePrefix="1">
      <alignment horizontal="center"/>
    </xf>
    <xf numFmtId="1" fontId="0" fillId="48" borderId="65" xfId="0" applyNumberFormat="1" applyFill="1" applyBorder="1" applyAlignment="1">
      <alignment horizontal="center"/>
    </xf>
    <xf numFmtId="1" fontId="0" fillId="50" borderId="40" xfId="0" applyNumberFormat="1" applyFill="1" applyBorder="1" applyAlignment="1">
      <alignment horizontal="center"/>
    </xf>
    <xf numFmtId="1" fontId="0" fillId="50" borderId="38" xfId="0" applyNumberFormat="1" applyFill="1" applyBorder="1" applyAlignment="1">
      <alignment horizontal="center"/>
    </xf>
    <xf numFmtId="1" fontId="0" fillId="50" borderId="16" xfId="0" applyNumberFormat="1" applyFill="1" applyBorder="1" applyAlignment="1">
      <alignment horizontal="center"/>
    </xf>
    <xf numFmtId="1" fontId="0" fillId="50" borderId="36" xfId="0" applyNumberFormat="1" applyFill="1" applyBorder="1" applyAlignment="1">
      <alignment horizontal="center"/>
    </xf>
    <xf numFmtId="1" fontId="0" fillId="50" borderId="17" xfId="0" applyNumberFormat="1" applyFill="1" applyBorder="1" applyAlignment="1">
      <alignment horizontal="center"/>
    </xf>
    <xf numFmtId="1" fontId="0" fillId="50" borderId="37" xfId="0" applyNumberFormat="1" applyFill="1" applyBorder="1" applyAlignment="1">
      <alignment horizontal="center"/>
    </xf>
    <xf numFmtId="1" fontId="0" fillId="50" borderId="65" xfId="0" applyNumberFormat="1" applyFill="1" applyBorder="1" applyAlignment="1">
      <alignment horizontal="center"/>
    </xf>
    <xf numFmtId="1" fontId="0" fillId="50" borderId="74" xfId="0" applyNumberFormat="1" applyFill="1" applyBorder="1" applyAlignment="1">
      <alignment horizontal="center"/>
    </xf>
    <xf numFmtId="1" fontId="0" fillId="0" borderId="82" xfId="0" applyNumberFormat="1" applyFill="1" applyBorder="1" applyAlignment="1">
      <alignment horizontal="center"/>
    </xf>
    <xf numFmtId="1" fontId="3" fillId="0" borderId="10" xfId="0" applyNumberFormat="1" applyFont="1" applyFill="1" applyBorder="1" applyAlignment="1">
      <alignment/>
    </xf>
    <xf numFmtId="1" fontId="0" fillId="0" borderId="48" xfId="0" applyNumberFormat="1" applyFill="1" applyBorder="1" applyAlignment="1">
      <alignment horizontal="center"/>
    </xf>
    <xf numFmtId="0" fontId="3" fillId="0" borderId="64" xfId="0" applyFont="1" applyFill="1" applyBorder="1" applyAlignment="1">
      <alignment/>
    </xf>
    <xf numFmtId="0" fontId="3" fillId="0" borderId="13" xfId="0" applyFont="1" applyFill="1" applyBorder="1" applyAlignment="1">
      <alignment/>
    </xf>
    <xf numFmtId="0" fontId="3" fillId="0" borderId="0" xfId="0" applyFont="1" applyFill="1" applyBorder="1" applyAlignment="1">
      <alignment/>
    </xf>
    <xf numFmtId="0" fontId="3" fillId="0" borderId="26" xfId="0" applyFont="1" applyFill="1" applyBorder="1" applyAlignment="1">
      <alignment/>
    </xf>
    <xf numFmtId="1" fontId="3" fillId="0" borderId="32" xfId="0" applyNumberFormat="1" applyFont="1" applyFill="1" applyBorder="1" applyAlignment="1">
      <alignment/>
    </xf>
    <xf numFmtId="0" fontId="2" fillId="0" borderId="64" xfId="0" applyFont="1" applyFill="1" applyBorder="1" applyAlignment="1">
      <alignment/>
    </xf>
    <xf numFmtId="1" fontId="0" fillId="0" borderId="64" xfId="0" applyNumberFormat="1" applyFill="1" applyBorder="1" applyAlignment="1">
      <alignment horizontal="center"/>
    </xf>
    <xf numFmtId="0" fontId="2" fillId="0" borderId="76" xfId="0" applyFont="1" applyFill="1" applyBorder="1" applyAlignment="1">
      <alignment/>
    </xf>
    <xf numFmtId="0" fontId="6" fillId="0" borderId="76" xfId="0" applyFont="1" applyFill="1" applyBorder="1" applyAlignment="1">
      <alignment horizontal="left"/>
    </xf>
    <xf numFmtId="0" fontId="2" fillId="0" borderId="0" xfId="0" applyFont="1" applyFill="1" applyBorder="1" applyAlignment="1">
      <alignment/>
    </xf>
    <xf numFmtId="0" fontId="4" fillId="0" borderId="76" xfId="0" applyFont="1" applyFill="1" applyBorder="1" applyAlignment="1">
      <alignment/>
    </xf>
    <xf numFmtId="0" fontId="4" fillId="0" borderId="0" xfId="0" applyFont="1" applyFill="1" applyBorder="1" applyAlignment="1">
      <alignment/>
    </xf>
    <xf numFmtId="0" fontId="3" fillId="0" borderId="14" xfId="0" applyFont="1" applyFill="1" applyBorder="1" applyAlignment="1">
      <alignment wrapText="1"/>
    </xf>
    <xf numFmtId="0" fontId="3" fillId="0" borderId="11" xfId="0" applyFont="1" applyFill="1" applyBorder="1" applyAlignment="1">
      <alignment wrapText="1"/>
    </xf>
    <xf numFmtId="0" fontId="3" fillId="0" borderId="12" xfId="0" applyFont="1" applyFill="1" applyBorder="1" applyAlignment="1">
      <alignment wrapText="1"/>
    </xf>
    <xf numFmtId="1" fontId="0" fillId="0" borderId="10" xfId="0" applyNumberFormat="1" applyFill="1" applyBorder="1" applyAlignment="1" quotePrefix="1">
      <alignment horizontal="center"/>
    </xf>
    <xf numFmtId="1" fontId="0" fillId="0" borderId="32" xfId="0" applyNumberFormat="1" applyFill="1" applyBorder="1" applyAlignment="1" quotePrefix="1">
      <alignment horizontal="center"/>
    </xf>
    <xf numFmtId="0" fontId="0" fillId="50" borderId="15" xfId="0" applyFill="1" applyBorder="1" applyAlignment="1">
      <alignment horizontal="center"/>
    </xf>
    <xf numFmtId="0" fontId="0" fillId="50" borderId="16" xfId="0" applyFill="1" applyBorder="1" applyAlignment="1">
      <alignment horizontal="center"/>
    </xf>
    <xf numFmtId="164" fontId="0" fillId="50" borderId="16" xfId="0" applyNumberFormat="1" applyFill="1" applyBorder="1" applyAlignment="1">
      <alignment horizontal="center"/>
    </xf>
    <xf numFmtId="0" fontId="0" fillId="50" borderId="58" xfId="0" applyFill="1" applyBorder="1" applyAlignment="1">
      <alignment horizontal="center"/>
    </xf>
    <xf numFmtId="3" fontId="0" fillId="50" borderId="15" xfId="0" applyNumberFormat="1" applyFill="1" applyBorder="1" applyAlignment="1">
      <alignment horizontal="center"/>
    </xf>
    <xf numFmtId="9" fontId="76" fillId="50" borderId="40" xfId="0" applyNumberFormat="1" applyFont="1" applyFill="1" applyBorder="1" applyAlignment="1">
      <alignment horizontal="center"/>
    </xf>
    <xf numFmtId="0" fontId="76" fillId="50" borderId="41" xfId="0" applyFont="1" applyFill="1" applyBorder="1" applyAlignment="1">
      <alignment horizontal="center"/>
    </xf>
    <xf numFmtId="0" fontId="0" fillId="50" borderId="65" xfId="0" applyFill="1" applyBorder="1" applyAlignment="1">
      <alignment horizontal="center"/>
    </xf>
    <xf numFmtId="0" fontId="0" fillId="50" borderId="40" xfId="0" applyFill="1" applyBorder="1" applyAlignment="1">
      <alignment horizontal="center"/>
    </xf>
    <xf numFmtId="9" fontId="0" fillId="50" borderId="16" xfId="0" applyNumberFormat="1" applyFill="1" applyBorder="1" applyAlignment="1">
      <alignment horizontal="center"/>
    </xf>
    <xf numFmtId="9" fontId="0" fillId="50" borderId="17" xfId="0" applyNumberFormat="1" applyFill="1" applyBorder="1" applyAlignment="1">
      <alignment horizontal="center"/>
    </xf>
    <xf numFmtId="1" fontId="2" fillId="0" borderId="64" xfId="0" applyNumberFormat="1" applyFont="1" applyFill="1" applyBorder="1" applyAlignment="1">
      <alignment horizontal="center"/>
    </xf>
    <xf numFmtId="0" fontId="73" fillId="0" borderId="13" xfId="0" applyFont="1" applyFill="1" applyBorder="1" applyAlignment="1">
      <alignment/>
    </xf>
    <xf numFmtId="1" fontId="73" fillId="0" borderId="10" xfId="0" applyNumberFormat="1" applyFont="1" applyFill="1" applyBorder="1" applyAlignment="1">
      <alignment/>
    </xf>
    <xf numFmtId="1" fontId="73" fillId="0" borderId="32" xfId="0" applyNumberFormat="1" applyFont="1" applyFill="1" applyBorder="1" applyAlignment="1">
      <alignment/>
    </xf>
    <xf numFmtId="0" fontId="0" fillId="0" borderId="15" xfId="0" applyFill="1" applyBorder="1" applyAlignment="1">
      <alignment horizontal="center"/>
    </xf>
    <xf numFmtId="0" fontId="0" fillId="0" borderId="16" xfId="0" applyFill="1" applyBorder="1" applyAlignment="1">
      <alignment horizontal="center"/>
    </xf>
    <xf numFmtId="0" fontId="0" fillId="0" borderId="0" xfId="0" applyFill="1" applyBorder="1" applyAlignment="1">
      <alignment wrapText="1"/>
    </xf>
    <xf numFmtId="0" fontId="0" fillId="0" borderId="20" xfId="0" applyFill="1" applyBorder="1" applyAlignment="1" quotePrefix="1">
      <alignment horizontal="center"/>
    </xf>
    <xf numFmtId="0" fontId="3" fillId="49" borderId="20" xfId="0" applyFont="1" applyFill="1" applyBorder="1" applyAlignment="1" quotePrefix="1">
      <alignment horizontal="center"/>
    </xf>
    <xf numFmtId="3" fontId="0" fillId="0" borderId="71" xfId="0" applyNumberFormat="1" applyFill="1" applyBorder="1" applyAlignment="1">
      <alignment horizontal="center"/>
    </xf>
    <xf numFmtId="0" fontId="0" fillId="0" borderId="65" xfId="0" applyFill="1" applyBorder="1" applyAlignment="1">
      <alignment horizontal="center"/>
    </xf>
    <xf numFmtId="0" fontId="3" fillId="0" borderId="76" xfId="0" applyFont="1" applyFill="1" applyBorder="1" applyAlignment="1">
      <alignment vertical="top"/>
    </xf>
    <xf numFmtId="0" fontId="6" fillId="0" borderId="0" xfId="0" applyFont="1" applyFill="1" applyBorder="1" applyAlignment="1">
      <alignment vertical="top"/>
    </xf>
    <xf numFmtId="0" fontId="3" fillId="0" borderId="0" xfId="59" applyFont="1" applyFill="1" applyBorder="1" applyAlignment="1">
      <alignment vertical="top"/>
    </xf>
    <xf numFmtId="0" fontId="0" fillId="0" borderId="0" xfId="0" applyFill="1" applyBorder="1" applyAlignment="1">
      <alignment/>
    </xf>
    <xf numFmtId="164" fontId="0" fillId="45" borderId="40" xfId="0" applyNumberFormat="1" applyFill="1" applyBorder="1" applyAlignment="1">
      <alignment horizontal="center"/>
    </xf>
    <xf numFmtId="0" fontId="0" fillId="49" borderId="68" xfId="0" applyFill="1" applyBorder="1" applyAlignment="1">
      <alignment/>
    </xf>
    <xf numFmtId="0" fontId="0" fillId="49" borderId="68" xfId="0" applyFill="1" applyBorder="1" applyAlignment="1">
      <alignment wrapText="1"/>
    </xf>
    <xf numFmtId="0" fontId="0" fillId="0" borderId="68" xfId="0" applyFont="1" applyBorder="1" applyAlignment="1">
      <alignment wrapText="1"/>
    </xf>
    <xf numFmtId="3" fontId="0" fillId="48" borderId="73" xfId="0" applyNumberFormat="1" applyFill="1" applyBorder="1" applyAlignment="1">
      <alignment horizontal="center"/>
    </xf>
    <xf numFmtId="0" fontId="0" fillId="0" borderId="69" xfId="0" applyBorder="1" applyAlignment="1">
      <alignment wrapText="1"/>
    </xf>
    <xf numFmtId="0" fontId="3" fillId="0" borderId="31" xfId="0" applyFont="1" applyBorder="1" applyAlignment="1">
      <alignment wrapText="1"/>
    </xf>
    <xf numFmtId="0" fontId="0" fillId="43" borderId="21" xfId="0" applyFill="1" applyBorder="1" applyAlignment="1">
      <alignment horizontal="left" vertical="top" wrapText="1"/>
    </xf>
    <xf numFmtId="0" fontId="0" fillId="0" borderId="0" xfId="0" applyBorder="1" applyAlignment="1">
      <alignment horizontal="left" vertical="top" wrapText="1"/>
    </xf>
    <xf numFmtId="0" fontId="0" fillId="0" borderId="22" xfId="0" applyBorder="1" applyAlignment="1">
      <alignment horizontal="left" vertical="top" wrapText="1"/>
    </xf>
    <xf numFmtId="0" fontId="0" fillId="43" borderId="24" xfId="0" applyFill="1"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13" fillId="0" borderId="0" xfId="0" applyFont="1" applyAlignment="1">
      <alignment horizontal="left"/>
    </xf>
    <xf numFmtId="0" fontId="0" fillId="43" borderId="23" xfId="0" applyFill="1" applyBorder="1" applyAlignment="1">
      <alignment horizontal="left" vertical="top" wrapText="1"/>
    </xf>
    <xf numFmtId="0" fontId="0" fillId="43" borderId="25" xfId="0" applyFill="1" applyBorder="1" applyAlignment="1">
      <alignment horizontal="left" vertical="top" wrapText="1"/>
    </xf>
    <xf numFmtId="0" fontId="2" fillId="43" borderId="21" xfId="0" applyFont="1" applyFill="1" applyBorder="1" applyAlignment="1">
      <alignment vertical="top" wrapText="1"/>
    </xf>
    <xf numFmtId="0" fontId="0" fillId="43" borderId="0" xfId="0" applyFill="1" applyBorder="1" applyAlignment="1">
      <alignment vertical="top" wrapText="1"/>
    </xf>
    <xf numFmtId="0" fontId="0" fillId="43" borderId="22" xfId="0" applyFill="1" applyBorder="1" applyAlignment="1">
      <alignment vertical="top" wrapText="1"/>
    </xf>
    <xf numFmtId="0" fontId="2" fillId="43" borderId="23" xfId="0" applyFont="1" applyFill="1" applyBorder="1" applyAlignment="1">
      <alignment vertical="top" wrapText="1"/>
    </xf>
    <xf numFmtId="0" fontId="0" fillId="43" borderId="24" xfId="0" applyFill="1" applyBorder="1" applyAlignment="1">
      <alignment vertical="top" wrapText="1"/>
    </xf>
    <xf numFmtId="0" fontId="0" fillId="43" borderId="25" xfId="0" applyFill="1" applyBorder="1" applyAlignment="1">
      <alignment vertical="top" wrapText="1"/>
    </xf>
    <xf numFmtId="0" fontId="0" fillId="43" borderId="0" xfId="0" applyFill="1" applyBorder="1" applyAlignment="1">
      <alignment horizontal="left" vertical="top" wrapText="1"/>
    </xf>
    <xf numFmtId="0" fontId="0" fillId="43" borderId="22" xfId="0" applyFill="1" applyBorder="1" applyAlignment="1">
      <alignment horizontal="left" vertical="top" wrapText="1"/>
    </xf>
    <xf numFmtId="0" fontId="2" fillId="43" borderId="21" xfId="0" applyFont="1" applyFill="1" applyBorder="1" applyAlignment="1">
      <alignment horizontal="left" vertical="top" wrapText="1"/>
    </xf>
    <xf numFmtId="0" fontId="2" fillId="43" borderId="0" xfId="0" applyFont="1" applyFill="1" applyBorder="1" applyAlignment="1">
      <alignment horizontal="left" vertical="top" wrapText="1"/>
    </xf>
    <xf numFmtId="0" fontId="2" fillId="43" borderId="22" xfId="0" applyFont="1" applyFill="1" applyBorder="1" applyAlignment="1">
      <alignment horizontal="left" vertical="top" wrapText="1"/>
    </xf>
    <xf numFmtId="0" fontId="5" fillId="0" borderId="45" xfId="0" applyFont="1" applyFill="1" applyBorder="1" applyAlignment="1">
      <alignment horizontal="left"/>
    </xf>
    <xf numFmtId="0" fontId="5" fillId="0" borderId="83" xfId="0" applyFont="1" applyFill="1" applyBorder="1" applyAlignment="1">
      <alignment horizontal="left"/>
    </xf>
    <xf numFmtId="0" fontId="5" fillId="0" borderId="74" xfId="0" applyFont="1" applyFill="1" applyBorder="1" applyAlignment="1">
      <alignment horizontal="left"/>
    </xf>
    <xf numFmtId="0" fontId="0" fillId="0" borderId="43" xfId="0" applyFont="1" applyFill="1" applyBorder="1" applyAlignment="1">
      <alignment horizontal="right"/>
    </xf>
    <xf numFmtId="0" fontId="0" fillId="0" borderId="36" xfId="0" applyFont="1" applyFill="1" applyBorder="1" applyAlignment="1">
      <alignment horizontal="right"/>
    </xf>
    <xf numFmtId="0" fontId="0" fillId="0" borderId="43" xfId="0" applyFont="1" applyFill="1" applyBorder="1" applyAlignment="1">
      <alignment/>
    </xf>
    <xf numFmtId="0" fontId="0" fillId="0" borderId="36" xfId="0" applyFont="1" applyFill="1" applyBorder="1" applyAlignment="1">
      <alignment/>
    </xf>
    <xf numFmtId="0" fontId="2" fillId="0" borderId="42" xfId="0" applyFont="1" applyFill="1" applyBorder="1" applyAlignment="1">
      <alignment vertical="center"/>
    </xf>
    <xf numFmtId="0" fontId="2" fillId="0" borderId="78" xfId="0" applyFont="1" applyFill="1" applyBorder="1" applyAlignment="1">
      <alignment vertical="center"/>
    </xf>
    <xf numFmtId="0" fontId="2" fillId="0" borderId="47" xfId="0" applyFont="1" applyFill="1" applyBorder="1" applyAlignment="1">
      <alignment vertical="center"/>
    </xf>
    <xf numFmtId="0" fontId="2" fillId="0" borderId="37" xfId="0" applyFont="1" applyFill="1" applyBorder="1" applyAlignment="1">
      <alignment vertical="center"/>
    </xf>
    <xf numFmtId="0" fontId="0" fillId="0" borderId="46" xfId="0" applyFont="1" applyFill="1" applyBorder="1" applyAlignment="1">
      <alignment/>
    </xf>
    <xf numFmtId="0" fontId="0" fillId="0" borderId="38" xfId="0" applyFont="1" applyFill="1" applyBorder="1" applyAlignment="1">
      <alignment/>
    </xf>
    <xf numFmtId="0" fontId="0" fillId="0" borderId="43" xfId="0" applyFont="1" applyFill="1" applyBorder="1" applyAlignment="1">
      <alignment horizontal="left"/>
    </xf>
    <xf numFmtId="0" fontId="0" fillId="0" borderId="55" xfId="0" applyFont="1" applyFill="1" applyBorder="1" applyAlignment="1">
      <alignment horizontal="left"/>
    </xf>
    <xf numFmtId="0" fontId="9" fillId="48" borderId="15" xfId="0" applyFont="1" applyFill="1" applyBorder="1" applyAlignment="1">
      <alignment vertical="center"/>
    </xf>
    <xf numFmtId="0" fontId="9" fillId="48" borderId="13" xfId="0" applyFont="1" applyFill="1" applyBorder="1" applyAlignment="1">
      <alignment vertical="center"/>
    </xf>
    <xf numFmtId="0" fontId="9" fillId="48" borderId="14" xfId="0" applyFont="1" applyFill="1" applyBorder="1" applyAlignment="1">
      <alignment vertical="center"/>
    </xf>
    <xf numFmtId="0" fontId="9" fillId="48" borderId="17" xfId="0" applyFont="1" applyFill="1" applyBorder="1" applyAlignment="1">
      <alignment vertical="center"/>
    </xf>
    <xf numFmtId="0" fontId="9" fillId="48" borderId="32" xfId="0" applyFont="1" applyFill="1" applyBorder="1" applyAlignment="1">
      <alignment vertical="center"/>
    </xf>
    <xf numFmtId="0" fontId="9" fillId="48" borderId="12" xfId="0" applyFont="1" applyFill="1" applyBorder="1" applyAlignment="1">
      <alignment vertical="center"/>
    </xf>
    <xf numFmtId="0" fontId="4" fillId="0" borderId="83" xfId="0" applyFont="1" applyFill="1" applyBorder="1" applyAlignment="1">
      <alignment horizontal="left" wrapText="1"/>
    </xf>
    <xf numFmtId="0" fontId="4" fillId="0" borderId="74" xfId="0" applyFont="1" applyFill="1" applyBorder="1" applyAlignment="1">
      <alignment horizontal="left" wrapText="1"/>
    </xf>
    <xf numFmtId="0" fontId="3" fillId="0" borderId="15" xfId="0" applyFont="1" applyBorder="1" applyAlignment="1">
      <alignment horizontal="left" vertical="center"/>
    </xf>
    <xf numFmtId="0" fontId="3" fillId="0" borderId="71" xfId="0" applyFont="1" applyBorder="1" applyAlignment="1">
      <alignment horizontal="left" vertical="center"/>
    </xf>
    <xf numFmtId="0" fontId="3" fillId="0" borderId="16" xfId="0" applyFont="1" applyBorder="1" applyAlignment="1">
      <alignment horizontal="left" vertical="center"/>
    </xf>
    <xf numFmtId="0" fontId="3" fillId="0" borderId="52" xfId="0" applyFont="1" applyBorder="1" applyAlignment="1">
      <alignment horizontal="left" vertical="center"/>
    </xf>
    <xf numFmtId="0" fontId="2" fillId="0" borderId="39" xfId="0" applyFont="1" applyFill="1" applyBorder="1" applyAlignment="1">
      <alignment/>
    </xf>
    <xf numFmtId="0" fontId="2" fillId="0" borderId="80" xfId="0" applyFont="1" applyFill="1" applyBorder="1" applyAlignment="1">
      <alignment/>
    </xf>
    <xf numFmtId="0" fontId="0" fillId="0" borderId="43" xfId="0" applyFill="1" applyBorder="1" applyAlignment="1">
      <alignment/>
    </xf>
    <xf numFmtId="0" fontId="5" fillId="0" borderId="45" xfId="0" applyFont="1" applyFill="1" applyBorder="1" applyAlignment="1">
      <alignment horizontal="center"/>
    </xf>
    <xf numFmtId="0" fontId="5" fillId="0" borderId="74" xfId="0" applyFont="1" applyFill="1" applyBorder="1" applyAlignment="1">
      <alignment horizontal="center"/>
    </xf>
    <xf numFmtId="0" fontId="0" fillId="0" borderId="17" xfId="0" applyFont="1" applyFill="1" applyBorder="1" applyAlignment="1">
      <alignment wrapText="1"/>
    </xf>
    <xf numFmtId="0" fontId="0" fillId="0" borderId="32" xfId="0" applyFont="1" applyFill="1" applyBorder="1" applyAlignment="1">
      <alignment wrapText="1"/>
    </xf>
    <xf numFmtId="0" fontId="0" fillId="0" borderId="16" xfId="0" applyFont="1" applyFill="1" applyBorder="1" applyAlignment="1">
      <alignment wrapText="1"/>
    </xf>
    <xf numFmtId="0" fontId="0" fillId="0" borderId="10" xfId="0" applyFont="1" applyFill="1" applyBorder="1" applyAlignment="1">
      <alignment wrapText="1"/>
    </xf>
    <xf numFmtId="0" fontId="0" fillId="0" borderId="16" xfId="0" applyFill="1" applyBorder="1" applyAlignment="1">
      <alignment/>
    </xf>
    <xf numFmtId="0" fontId="0" fillId="0" borderId="10" xfId="0" applyFill="1" applyBorder="1" applyAlignment="1">
      <alignment/>
    </xf>
    <xf numFmtId="0" fontId="8" fillId="0" borderId="45" xfId="0" applyFont="1" applyBorder="1" applyAlignment="1">
      <alignment horizontal="center" vertical="center"/>
    </xf>
    <xf numFmtId="0" fontId="8" fillId="0" borderId="83" xfId="0" applyFont="1" applyBorder="1" applyAlignment="1">
      <alignment horizontal="center" vertical="center"/>
    </xf>
    <xf numFmtId="0" fontId="8" fillId="0" borderId="74" xfId="0" applyFont="1" applyBorder="1" applyAlignment="1">
      <alignment horizontal="center" vertical="center"/>
    </xf>
    <xf numFmtId="0" fontId="0" fillId="0" borderId="40" xfId="0" applyFont="1" applyFill="1" applyBorder="1" applyAlignment="1">
      <alignment/>
    </xf>
    <xf numFmtId="0" fontId="0" fillId="0" borderId="33" xfId="0" applyFont="1" applyFill="1" applyBorder="1" applyAlignment="1">
      <alignment/>
    </xf>
    <xf numFmtId="0" fontId="5" fillId="0" borderId="45" xfId="0" applyFont="1" applyBorder="1" applyAlignment="1">
      <alignment horizontal="left"/>
    </xf>
    <xf numFmtId="0" fontId="5" fillId="0" borderId="83" xfId="0" applyFont="1" applyBorder="1" applyAlignment="1">
      <alignment horizontal="left"/>
    </xf>
    <xf numFmtId="0" fontId="5" fillId="0" borderId="74" xfId="0" applyFont="1" applyBorder="1" applyAlignment="1">
      <alignment horizontal="left"/>
    </xf>
    <xf numFmtId="0" fontId="15" fillId="0" borderId="31" xfId="0" applyFont="1" applyBorder="1" applyAlignment="1">
      <alignment horizontal="left" vertical="center"/>
    </xf>
    <xf numFmtId="0" fontId="9" fillId="48" borderId="43" xfId="0" applyFont="1" applyFill="1" applyBorder="1" applyAlignment="1">
      <alignment vertical="center"/>
    </xf>
    <xf numFmtId="0" fontId="9" fillId="48" borderId="84" xfId="0" applyFont="1" applyFill="1" applyBorder="1" applyAlignment="1">
      <alignment vertical="center"/>
    </xf>
    <xf numFmtId="0" fontId="9" fillId="48" borderId="36" xfId="0" applyFont="1" applyFill="1" applyBorder="1" applyAlignment="1">
      <alignment vertical="center"/>
    </xf>
    <xf numFmtId="0" fontId="3" fillId="0" borderId="16" xfId="0" applyFont="1" applyFill="1" applyBorder="1" applyAlignment="1">
      <alignment wrapText="1"/>
    </xf>
    <xf numFmtId="0" fontId="3" fillId="0" borderId="10" xfId="0" applyFont="1" applyFill="1" applyBorder="1" applyAlignment="1">
      <alignment wrapText="1"/>
    </xf>
    <xf numFmtId="0" fontId="9" fillId="48" borderId="16" xfId="0" applyFont="1" applyFill="1" applyBorder="1" applyAlignment="1">
      <alignment vertical="center"/>
    </xf>
    <xf numFmtId="0" fontId="9" fillId="48" borderId="10" xfId="0" applyFont="1" applyFill="1" applyBorder="1" applyAlignment="1">
      <alignment vertical="center"/>
    </xf>
    <xf numFmtId="0" fontId="9" fillId="48" borderId="11" xfId="0" applyFont="1" applyFill="1" applyBorder="1" applyAlignment="1">
      <alignment vertical="center"/>
    </xf>
    <xf numFmtId="3" fontId="3" fillId="0" borderId="17" xfId="0" applyNumberFormat="1" applyFont="1" applyBorder="1" applyAlignment="1">
      <alignment horizontal="left" vertical="center"/>
    </xf>
    <xf numFmtId="3" fontId="3" fillId="0" borderId="53" xfId="0" applyNumberFormat="1" applyFont="1" applyBorder="1" applyAlignment="1">
      <alignment horizontal="left" vertical="center"/>
    </xf>
    <xf numFmtId="0" fontId="5" fillId="0" borderId="83" xfId="0" applyFont="1" applyFill="1" applyBorder="1" applyAlignment="1">
      <alignment horizontal="center"/>
    </xf>
    <xf numFmtId="0" fontId="0" fillId="0" borderId="74" xfId="0" applyBorder="1" applyAlignment="1">
      <alignment horizontal="center"/>
    </xf>
    <xf numFmtId="0" fontId="0" fillId="0" borderId="47" xfId="0" applyFont="1" applyFill="1" applyBorder="1" applyAlignment="1">
      <alignment/>
    </xf>
    <xf numFmtId="0" fontId="0" fillId="0" borderId="37" xfId="0" applyFont="1" applyFill="1" applyBorder="1" applyAlignment="1">
      <alignment/>
    </xf>
    <xf numFmtId="1" fontId="1" fillId="0" borderId="85" xfId="0" applyNumberFormat="1" applyFont="1" applyFill="1" applyBorder="1" applyAlignment="1">
      <alignment horizontal="center" vertical="center"/>
    </xf>
    <xf numFmtId="1" fontId="1" fillId="0" borderId="51" xfId="0" applyNumberFormat="1" applyFont="1" applyFill="1" applyBorder="1" applyAlignment="1">
      <alignment horizontal="center" vertical="center"/>
    </xf>
    <xf numFmtId="1" fontId="1" fillId="0" borderId="63" xfId="0" applyNumberFormat="1" applyFont="1" applyFill="1" applyBorder="1" applyAlignment="1">
      <alignment horizontal="center" vertical="center"/>
    </xf>
    <xf numFmtId="0" fontId="0" fillId="51" borderId="0" xfId="0" applyFill="1" applyBorder="1" applyAlignment="1">
      <alignment horizontal="left" vertical="top" wrapText="1"/>
    </xf>
    <xf numFmtId="0" fontId="0" fillId="0" borderId="85" xfId="0" applyFont="1" applyBorder="1" applyAlignment="1">
      <alignment horizontal="center" vertical="center"/>
    </xf>
    <xf numFmtId="0" fontId="0" fillId="0" borderId="51" xfId="0" applyFont="1" applyBorder="1" applyAlignment="1">
      <alignment horizontal="center" vertical="center"/>
    </xf>
    <xf numFmtId="0" fontId="0" fillId="0" borderId="63" xfId="0" applyFont="1" applyBorder="1" applyAlignment="1">
      <alignment horizontal="center" vertical="center"/>
    </xf>
    <xf numFmtId="0" fontId="0" fillId="51" borderId="0" xfId="0" applyFill="1" applyBorder="1" applyAlignment="1">
      <alignment horizontal="left" vertical="center" wrapText="1"/>
    </xf>
    <xf numFmtId="0" fontId="73" fillId="0" borderId="0" xfId="0" applyFont="1" applyBorder="1" applyAlignment="1">
      <alignment horizontal="left" vertical="center"/>
    </xf>
    <xf numFmtId="0" fontId="22" fillId="51" borderId="0" xfId="0" applyFont="1" applyFill="1" applyAlignment="1">
      <alignment horizontal="left" wrapText="1"/>
    </xf>
    <xf numFmtId="0" fontId="0" fillId="0" borderId="28" xfId="0"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3" fontId="3" fillId="0" borderId="16" xfId="0" applyNumberFormat="1" applyFont="1" applyFill="1" applyBorder="1" applyAlignment="1">
      <alignment horizontal="left" vertical="center"/>
    </xf>
    <xf numFmtId="3" fontId="3" fillId="0" borderId="52" xfId="0" applyNumberFormat="1" applyFont="1" applyFill="1" applyBorder="1" applyAlignment="1">
      <alignment horizontal="left" vertical="center"/>
    </xf>
    <xf numFmtId="0" fontId="2" fillId="0" borderId="86"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39" xfId="0" applyFont="1" applyFill="1" applyBorder="1" applyAlignment="1">
      <alignment horizontal="center" vertical="center" wrapText="1"/>
    </xf>
    <xf numFmtId="1" fontId="2" fillId="0" borderId="75" xfId="0" applyNumberFormat="1" applyFont="1" applyFill="1" applyBorder="1" applyAlignment="1">
      <alignment horizontal="center" vertical="center"/>
    </xf>
    <xf numFmtId="1" fontId="2" fillId="0" borderId="22" xfId="0" applyNumberFormat="1" applyFont="1" applyFill="1" applyBorder="1" applyAlignment="1">
      <alignment horizontal="center" vertical="center"/>
    </xf>
    <xf numFmtId="1" fontId="2" fillId="0" borderId="50" xfId="0" applyNumberFormat="1" applyFont="1" applyFill="1" applyBorder="1" applyAlignment="1">
      <alignment horizontal="center" vertical="center"/>
    </xf>
    <xf numFmtId="0" fontId="3" fillId="0" borderId="52" xfId="0" applyFont="1" applyFill="1" applyBorder="1" applyAlignment="1">
      <alignment wrapText="1"/>
    </xf>
    <xf numFmtId="0" fontId="0" fillId="0" borderId="52" xfId="0" applyFill="1" applyBorder="1" applyAlignment="1">
      <alignment/>
    </xf>
    <xf numFmtId="0" fontId="0" fillId="0" borderId="52" xfId="0" applyFont="1" applyFill="1" applyBorder="1" applyAlignment="1">
      <alignment wrapText="1"/>
    </xf>
    <xf numFmtId="0" fontId="0" fillId="0" borderId="53" xfId="0" applyFont="1" applyFill="1" applyBorder="1" applyAlignment="1">
      <alignment wrapText="1"/>
    </xf>
    <xf numFmtId="3" fontId="3" fillId="0" borderId="16" xfId="0" applyNumberFormat="1" applyFont="1" applyBorder="1" applyAlignment="1">
      <alignment horizontal="left" vertical="center"/>
    </xf>
    <xf numFmtId="3" fontId="3" fillId="0" borderId="52" xfId="0" applyNumberFormat="1" applyFont="1" applyBorder="1" applyAlignment="1">
      <alignment horizontal="left" vertical="center"/>
    </xf>
    <xf numFmtId="0" fontId="79" fillId="50" borderId="16" xfId="0" applyFont="1" applyFill="1" applyBorder="1" applyAlignment="1">
      <alignment vertical="center"/>
    </xf>
    <xf numFmtId="0" fontId="79" fillId="50" borderId="10" xfId="0" applyFont="1" applyFill="1" applyBorder="1" applyAlignment="1">
      <alignment vertical="center"/>
    </xf>
    <xf numFmtId="0" fontId="79" fillId="50" borderId="11" xfId="0" applyFont="1" applyFill="1" applyBorder="1" applyAlignment="1">
      <alignment vertical="center"/>
    </xf>
    <xf numFmtId="0" fontId="79" fillId="50" borderId="17" xfId="0" applyFont="1" applyFill="1" applyBorder="1" applyAlignment="1">
      <alignment vertical="center"/>
    </xf>
    <xf numFmtId="0" fontId="79" fillId="50" borderId="32" xfId="0" applyFont="1" applyFill="1" applyBorder="1" applyAlignment="1">
      <alignment vertical="center"/>
    </xf>
    <xf numFmtId="0" fontId="79" fillId="50" borderId="12" xfId="0" applyFont="1" applyFill="1" applyBorder="1" applyAlignment="1">
      <alignment vertical="center"/>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6" xfId="0" applyFill="1" applyBorder="1" applyAlignment="1">
      <alignment/>
    </xf>
    <xf numFmtId="0" fontId="4" fillId="0" borderId="83" xfId="0" applyFont="1" applyFill="1" applyBorder="1" applyAlignment="1">
      <alignment horizontal="left" wrapText="1"/>
    </xf>
    <xf numFmtId="0" fontId="0" fillId="0" borderId="74" xfId="0" applyBorder="1" applyAlignment="1">
      <alignment/>
    </xf>
    <xf numFmtId="0" fontId="79" fillId="50" borderId="15" xfId="0" applyFont="1" applyFill="1" applyBorder="1" applyAlignment="1">
      <alignment vertical="center"/>
    </xf>
    <xf numFmtId="0" fontId="79" fillId="50" borderId="13" xfId="0" applyFont="1" applyFill="1" applyBorder="1" applyAlignment="1">
      <alignment vertical="center"/>
    </xf>
    <xf numFmtId="0" fontId="79" fillId="50" borderId="14" xfId="0" applyFont="1" applyFill="1" applyBorder="1" applyAlignment="1">
      <alignment vertical="center"/>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22" fillId="51" borderId="0" xfId="0" applyFont="1" applyFill="1" applyAlignment="1">
      <alignment horizontal="left" vertical="center" wrapText="1"/>
    </xf>
    <xf numFmtId="0" fontId="0" fillId="52" borderId="0" xfId="0" applyFill="1" applyBorder="1" applyAlignment="1">
      <alignment horizontal="left" vertical="top" wrapText="1"/>
    </xf>
    <xf numFmtId="1" fontId="73" fillId="0" borderId="86" xfId="0" applyNumberFormat="1" applyFont="1" applyFill="1" applyBorder="1" applyAlignment="1">
      <alignment horizontal="center" vertical="center"/>
    </xf>
    <xf numFmtId="1" fontId="73" fillId="0" borderId="75" xfId="0" applyNumberFormat="1" applyFont="1" applyFill="1" applyBorder="1" applyAlignment="1">
      <alignment horizontal="center" vertical="center"/>
    </xf>
    <xf numFmtId="1" fontId="73" fillId="0" borderId="76" xfId="0" applyNumberFormat="1" applyFont="1" applyFill="1" applyBorder="1" applyAlignment="1">
      <alignment horizontal="center" vertical="center"/>
    </xf>
    <xf numFmtId="1" fontId="73" fillId="0" borderId="22" xfId="0" applyNumberFormat="1" applyFont="1" applyFill="1" applyBorder="1" applyAlignment="1">
      <alignment horizontal="center" vertical="center"/>
    </xf>
    <xf numFmtId="1" fontId="73" fillId="0" borderId="39" xfId="0" applyNumberFormat="1" applyFont="1" applyFill="1" applyBorder="1" applyAlignment="1">
      <alignment horizontal="center" vertical="center"/>
    </xf>
    <xf numFmtId="1" fontId="73" fillId="0" borderId="50" xfId="0" applyNumberFormat="1" applyFont="1" applyFill="1" applyBorder="1" applyAlignment="1">
      <alignment horizontal="center" vertical="center"/>
    </xf>
    <xf numFmtId="0" fontId="0" fillId="52" borderId="0" xfId="0" applyFill="1" applyBorder="1" applyAlignment="1">
      <alignment horizontal="left" vertical="center" wrapText="1"/>
    </xf>
    <xf numFmtId="0" fontId="0" fillId="0" borderId="83" xfId="0" applyBorder="1" applyAlignment="1">
      <alignment horizontal="center"/>
    </xf>
    <xf numFmtId="0" fontId="0" fillId="0" borderId="44" xfId="0" applyFont="1" applyFill="1" applyBorder="1" applyAlignment="1">
      <alignment/>
    </xf>
    <xf numFmtId="0" fontId="0" fillId="0" borderId="87" xfId="0" applyFont="1" applyFill="1" applyBorder="1" applyAlignment="1">
      <alignment/>
    </xf>
    <xf numFmtId="0" fontId="0" fillId="51" borderId="0" xfId="0" applyFill="1" applyAlignment="1">
      <alignment horizontal="left" vertical="center" wrapText="1"/>
    </xf>
    <xf numFmtId="1" fontId="6" fillId="0" borderId="86" xfId="0" applyNumberFormat="1" applyFont="1" applyFill="1" applyBorder="1" applyAlignment="1">
      <alignment horizontal="center" vertical="center"/>
    </xf>
    <xf numFmtId="1" fontId="6" fillId="0" borderId="76" xfId="0" applyNumberFormat="1" applyFont="1" applyFill="1" applyBorder="1" applyAlignment="1">
      <alignment horizontal="center" vertical="center"/>
    </xf>
    <xf numFmtId="1" fontId="6" fillId="0" borderId="39" xfId="0" applyNumberFormat="1"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2" fillId="0" borderId="86" xfId="0" applyFont="1" applyFill="1" applyBorder="1" applyAlignment="1">
      <alignment/>
    </xf>
    <xf numFmtId="0" fontId="2" fillId="0" borderId="82" xfId="0" applyFont="1" applyFill="1" applyBorder="1" applyAlignment="1">
      <alignment/>
    </xf>
    <xf numFmtId="0" fontId="2" fillId="0" borderId="41" xfId="0" applyFont="1" applyFill="1" applyBorder="1" applyAlignment="1">
      <alignment horizontal="left"/>
    </xf>
    <xf numFmtId="0" fontId="2" fillId="0" borderId="79" xfId="0" applyFont="1" applyFill="1" applyBorder="1" applyAlignment="1">
      <alignment horizontal="left"/>
    </xf>
    <xf numFmtId="0" fontId="0" fillId="0" borderId="15" xfId="0" applyBorder="1" applyAlignment="1">
      <alignment horizontal="left"/>
    </xf>
    <xf numFmtId="0" fontId="0" fillId="0" borderId="71" xfId="0" applyBorder="1" applyAlignment="1">
      <alignment horizontal="left"/>
    </xf>
    <xf numFmtId="0" fontId="0" fillId="0" borderId="16" xfId="0" applyBorder="1" applyAlignment="1">
      <alignment horizontal="left"/>
    </xf>
    <xf numFmtId="0" fontId="0" fillId="0" borderId="52" xfId="0" applyBorder="1" applyAlignment="1">
      <alignment horizontal="left"/>
    </xf>
    <xf numFmtId="0" fontId="2" fillId="0" borderId="28" xfId="0" applyFont="1" applyBorder="1" applyAlignment="1">
      <alignment horizontal="center" wrapText="1"/>
    </xf>
    <xf numFmtId="0" fontId="2" fillId="0" borderId="30" xfId="0" applyFont="1" applyBorder="1" applyAlignment="1">
      <alignment horizontal="center" wrapText="1"/>
    </xf>
    <xf numFmtId="0" fontId="2" fillId="0" borderId="86" xfId="0" applyFont="1" applyBorder="1" applyAlignment="1">
      <alignment horizontal="left"/>
    </xf>
    <xf numFmtId="0" fontId="2" fillId="0" borderId="64" xfId="0" applyFont="1" applyBorder="1" applyAlignment="1">
      <alignment horizontal="left"/>
    </xf>
    <xf numFmtId="0" fontId="2" fillId="0" borderId="76" xfId="0" applyFont="1" applyBorder="1" applyAlignment="1">
      <alignment horizontal="left"/>
    </xf>
    <xf numFmtId="0" fontId="2" fillId="0" borderId="0" xfId="0" applyFont="1" applyBorder="1" applyAlignment="1">
      <alignment horizontal="left"/>
    </xf>
    <xf numFmtId="0" fontId="2" fillId="0" borderId="39" xfId="0" applyFont="1" applyBorder="1" applyAlignment="1">
      <alignment horizontal="left"/>
    </xf>
    <xf numFmtId="0" fontId="2" fillId="0" borderId="26" xfId="0" applyFont="1" applyBorder="1" applyAlignment="1">
      <alignment horizontal="left"/>
    </xf>
    <xf numFmtId="0" fontId="0" fillId="0" borderId="58" xfId="0" applyBorder="1" applyAlignment="1">
      <alignment horizontal="left" vertical="center" wrapText="1"/>
    </xf>
    <xf numFmtId="0" fontId="0" fillId="0" borderId="60" xfId="0" applyBorder="1" applyAlignment="1">
      <alignment horizontal="left" vertical="center" wrapText="1"/>
    </xf>
    <xf numFmtId="0" fontId="0" fillId="0" borderId="41" xfId="0" applyBorder="1" applyAlignment="1">
      <alignment horizontal="left" vertical="center" wrapText="1"/>
    </xf>
    <xf numFmtId="0" fontId="17" fillId="0" borderId="73" xfId="0" applyFont="1" applyBorder="1" applyAlignment="1">
      <alignment horizontal="center"/>
    </xf>
    <xf numFmtId="0" fontId="17" fillId="0" borderId="78" xfId="0" applyFont="1" applyBorder="1" applyAlignment="1">
      <alignment horizontal="center"/>
    </xf>
    <xf numFmtId="0" fontId="6" fillId="0" borderId="39" xfId="0" applyFont="1" applyFill="1" applyBorder="1" applyAlignment="1">
      <alignment horizontal="left" wrapText="1"/>
    </xf>
    <xf numFmtId="0" fontId="6" fillId="0" borderId="80" xfId="0" applyFont="1" applyFill="1" applyBorder="1" applyAlignment="1">
      <alignment horizontal="left" wrapText="1"/>
    </xf>
    <xf numFmtId="0" fontId="3" fillId="0" borderId="45" xfId="0" applyFont="1" applyBorder="1" applyAlignment="1">
      <alignment horizontal="left" vertical="center" wrapText="1"/>
    </xf>
    <xf numFmtId="0" fontId="3" fillId="0" borderId="74" xfId="0" applyFont="1" applyBorder="1" applyAlignment="1">
      <alignment horizontal="left" vertical="center" wrapText="1"/>
    </xf>
    <xf numFmtId="0" fontId="0" fillId="0" borderId="46"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6" fillId="0" borderId="45" xfId="0" applyFont="1" applyFill="1" applyBorder="1" applyAlignment="1">
      <alignment horizontal="left" vertical="top" wrapText="1"/>
    </xf>
    <xf numFmtId="0" fontId="6" fillId="0" borderId="83" xfId="0" applyFont="1" applyFill="1" applyBorder="1" applyAlignment="1">
      <alignment horizontal="left" vertical="top" wrapText="1"/>
    </xf>
    <xf numFmtId="0" fontId="6" fillId="0" borderId="74" xfId="0" applyFont="1" applyFill="1" applyBorder="1" applyAlignment="1">
      <alignment horizontal="left" vertical="top" wrapText="1"/>
    </xf>
    <xf numFmtId="0" fontId="3" fillId="0" borderId="43"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45" xfId="0" applyFont="1" applyBorder="1" applyAlignment="1">
      <alignment horizontal="left" vertical="center" wrapText="1"/>
    </xf>
    <xf numFmtId="0" fontId="3" fillId="0" borderId="74" xfId="0" applyFont="1" applyBorder="1" applyAlignment="1">
      <alignment horizontal="left" vertical="center" wrapText="1"/>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0" fillId="0" borderId="43" xfId="0" applyFont="1" applyFill="1" applyBorder="1" applyAlignment="1">
      <alignment horizontal="right" vertical="center" wrapText="1"/>
    </xf>
    <xf numFmtId="0" fontId="0" fillId="0" borderId="36" xfId="0" applyFont="1" applyFill="1" applyBorder="1" applyAlignment="1">
      <alignment horizontal="right" vertical="center" wrapText="1"/>
    </xf>
    <xf numFmtId="0" fontId="3" fillId="0" borderId="43" xfId="0" applyFont="1" applyFill="1" applyBorder="1" applyAlignment="1">
      <alignment horizontal="right" vertical="center" wrapText="1"/>
    </xf>
    <xf numFmtId="0" fontId="3" fillId="0" borderId="36" xfId="0" applyFont="1" applyFill="1" applyBorder="1" applyAlignment="1">
      <alignment horizontal="right" vertical="center" wrapText="1"/>
    </xf>
    <xf numFmtId="0" fontId="3" fillId="0" borderId="46"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43" xfId="0" applyFill="1" applyBorder="1" applyAlignment="1">
      <alignment horizontal="left" vertical="center"/>
    </xf>
    <xf numFmtId="0" fontId="0" fillId="0" borderId="55" xfId="0" applyFill="1" applyBorder="1" applyAlignment="1">
      <alignment horizontal="left" vertical="center"/>
    </xf>
    <xf numFmtId="0" fontId="3" fillId="0" borderId="47"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13" fillId="0" borderId="0" xfId="0" applyFont="1" applyAlignment="1">
      <alignment horizontal="left" vertical="top" wrapText="1"/>
    </xf>
    <xf numFmtId="0" fontId="18" fillId="0" borderId="26" xfId="0" applyFont="1" applyBorder="1" applyAlignment="1">
      <alignment horizontal="left" vertical="top" wrapText="1"/>
    </xf>
    <xf numFmtId="0" fontId="6" fillId="0" borderId="45" xfId="0" applyFont="1" applyBorder="1" applyAlignment="1">
      <alignment horizontal="left" vertical="center" wrapText="1"/>
    </xf>
    <xf numFmtId="0" fontId="6" fillId="0" borderId="83" xfId="0" applyFont="1" applyBorder="1" applyAlignment="1">
      <alignment horizontal="left" vertical="center" wrapText="1"/>
    </xf>
    <xf numFmtId="0" fontId="6" fillId="0" borderId="74" xfId="0" applyFont="1" applyBorder="1" applyAlignment="1">
      <alignment horizontal="left" vertical="center" wrapText="1"/>
    </xf>
    <xf numFmtId="0" fontId="6" fillId="0" borderId="45" xfId="0" applyFont="1" applyBorder="1" applyAlignment="1">
      <alignment horizontal="left" vertical="top" wrapText="1"/>
    </xf>
    <xf numFmtId="0" fontId="6" fillId="0" borderId="83" xfId="0" applyFont="1" applyBorder="1" applyAlignment="1">
      <alignment horizontal="left" vertical="top" wrapText="1"/>
    </xf>
    <xf numFmtId="0" fontId="6" fillId="0" borderId="74" xfId="0" applyFont="1" applyBorder="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5 2" xfId="20"/>
    <cellStyle name="20% - Accent6" xfId="21"/>
    <cellStyle name="40% - Accent1" xfId="22"/>
    <cellStyle name="40% - Accent2" xfId="23"/>
    <cellStyle name="40% - Accent2 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2 2" xfId="37"/>
    <cellStyle name="Accent3" xfId="38"/>
    <cellStyle name="Accent3 2" xfId="39"/>
    <cellStyle name="Accent4" xfId="40"/>
    <cellStyle name="Accent5" xfId="41"/>
    <cellStyle name="Accent6" xfId="42"/>
    <cellStyle name="Accent6 2" xfId="43"/>
    <cellStyle name="Bad" xfId="44"/>
    <cellStyle name="Bad 2" xfId="45"/>
    <cellStyle name="Calculation" xfId="46"/>
    <cellStyle name="Check Cell" xfId="47"/>
    <cellStyle name="Comma" xfId="48"/>
    <cellStyle name="Comma [0]"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eutral 2" xfId="63"/>
    <cellStyle name="Note" xfId="64"/>
    <cellStyle name="Note 2" xfId="65"/>
    <cellStyle name="Output" xfId="66"/>
    <cellStyle name="Percent" xfId="67"/>
    <cellStyle name="Title" xfId="68"/>
    <cellStyle name="Total" xfId="69"/>
    <cellStyle name="Warning Text" xfId="70"/>
  </cellStyles>
  <tableStyles count="0" defaultTableStyle="TableStyleMedium2"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Cost Saving Uncertainty
</a:t>
            </a:r>
            <a:r>
              <a:rPr lang="en-US" cap="none" sz="1800" b="1" i="0" u="none" baseline="0">
                <a:solidFill>
                  <a:srgbClr val="000000"/>
                </a:solidFill>
                <a:latin typeface="Calibri"/>
                <a:ea typeface="Calibri"/>
                <a:cs typeface="Calibri"/>
              </a:rPr>
              <a:t>($/person/year)
</a:t>
            </a:r>
          </a:p>
        </c:rich>
      </c:tx>
      <c:layout>
        <c:manualLayout>
          <c:xMode val="factor"/>
          <c:yMode val="factor"/>
          <c:x val="-0.00325"/>
          <c:y val="-0.013"/>
        </c:manualLayout>
      </c:layout>
      <c:spPr>
        <a:noFill/>
        <a:ln>
          <a:noFill/>
        </a:ln>
      </c:spPr>
    </c:title>
    <c:plotArea>
      <c:layout>
        <c:manualLayout>
          <c:xMode val="edge"/>
          <c:yMode val="edge"/>
          <c:x val="0.097"/>
          <c:y val="0.162"/>
          <c:w val="0.901"/>
          <c:h val="0.7905"/>
        </c:manualLayout>
      </c:layout>
      <c:barChart>
        <c:barDir val="bar"/>
        <c:grouping val="stacked"/>
        <c:varyColors val="0"/>
        <c:ser>
          <c:idx val="0"/>
          <c:order val="0"/>
          <c:tx>
            <c:v>Best Brownfield vs. Worst Greenfield</c:v>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Scenarios'!$A$7:$B$9,'5. Scenarios'!$B$10:$B$12)</c:f>
              <c:strCache/>
            </c:strRef>
          </c:cat>
          <c:val>
            <c:numRef>
              <c:f>'5. Scenarios'!$C$7:$C$12</c:f>
              <c:numCache/>
            </c:numRef>
          </c:val>
        </c:ser>
        <c:ser>
          <c:idx val="1"/>
          <c:order val="1"/>
          <c:tx>
            <c:v>Worst Brownfield vs. Best Greenfield</c:v>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Scenarios'!$A$7:$B$9,'5. Scenarios'!$B$10:$B$12)</c:f>
              <c:strCache/>
            </c:strRef>
          </c:cat>
          <c:val>
            <c:numRef>
              <c:f>'5. Scenarios'!$E$7:$E$12</c:f>
              <c:numCache/>
            </c:numRef>
          </c:val>
        </c:ser>
        <c:overlap val="100"/>
        <c:gapWidth val="55"/>
        <c:axId val="62344490"/>
        <c:axId val="24229499"/>
      </c:barChart>
      <c:catAx>
        <c:axId val="62344490"/>
        <c:scaling>
          <c:orientation val="minMax"/>
        </c:scaling>
        <c:axPos val="l"/>
        <c:delete val="0"/>
        <c:numFmt formatCode="General" sourceLinked="1"/>
        <c:majorTickMark val="none"/>
        <c:minorTickMark val="none"/>
        <c:tickLblPos val="nextTo"/>
        <c:spPr>
          <a:ln w="3175">
            <a:solidFill>
              <a:srgbClr val="808080"/>
            </a:solidFill>
          </a:ln>
        </c:spPr>
        <c:txPr>
          <a:bodyPr vert="horz" rot="2160000"/>
          <a:lstStyle/>
          <a:p>
            <a:pPr>
              <a:defRPr lang="en-US" cap="none" sz="1000" b="0" i="0" u="none" baseline="0">
                <a:solidFill>
                  <a:srgbClr val="000000"/>
                </a:solidFill>
                <a:latin typeface="Calibri"/>
                <a:ea typeface="Calibri"/>
                <a:cs typeface="Calibri"/>
              </a:defRPr>
            </a:pPr>
          </a:p>
        </c:txPr>
        <c:crossAx val="24229499"/>
        <c:crossesAt val="-2500"/>
        <c:auto val="1"/>
        <c:lblOffset val="100"/>
        <c:tickLblSkip val="1"/>
        <c:noMultiLvlLbl val="0"/>
      </c:catAx>
      <c:valAx>
        <c:axId val="24229499"/>
        <c:scaling>
          <c:orientation val="minMax"/>
          <c:max val="2500"/>
          <c:min val="-2500"/>
        </c:scaling>
        <c:axPos val="b"/>
        <c:delete val="0"/>
        <c:numFmt formatCode="General" sourceLinked="1"/>
        <c:majorTickMark val="none"/>
        <c:minorTickMark val="none"/>
        <c:tickLblPos val="nextTo"/>
        <c:spPr>
          <a:ln w="3175">
            <a:solidFill>
              <a:srgbClr val="808080"/>
            </a:solidFill>
          </a:ln>
        </c:spPr>
        <c:crossAx val="62344490"/>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Impact Saving Uncertainty
</a:t>
            </a:r>
            <a:r>
              <a:rPr lang="en-US" cap="none" sz="1200" b="0" i="0" u="none" baseline="0">
                <a:solidFill>
                  <a:srgbClr val="000000"/>
                </a:solidFill>
                <a:latin typeface="Calibri"/>
                <a:ea typeface="Calibri"/>
                <a:cs typeface="Calibri"/>
              </a:rPr>
              <a:t>(kgCO2e/person/year)
</a:t>
            </a:r>
          </a:p>
        </c:rich>
      </c:tx>
      <c:layout>
        <c:manualLayout>
          <c:xMode val="factor"/>
          <c:yMode val="factor"/>
          <c:x val="-0.00175"/>
          <c:y val="-0.013"/>
        </c:manualLayout>
      </c:layout>
      <c:spPr>
        <a:noFill/>
        <a:ln>
          <a:noFill/>
        </a:ln>
      </c:spPr>
    </c:title>
    <c:plotArea>
      <c:layout>
        <c:manualLayout>
          <c:xMode val="edge"/>
          <c:yMode val="edge"/>
          <c:x val="0.03875"/>
          <c:y val="0.16875"/>
          <c:w val="0.9435"/>
          <c:h val="0.792"/>
        </c:manualLayout>
      </c:layout>
      <c:barChart>
        <c:barDir val="bar"/>
        <c:grouping val="stacked"/>
        <c:varyColors val="0"/>
        <c:ser>
          <c:idx val="0"/>
          <c:order val="0"/>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Scenarios'!$A$7:$B$7,'5. Scenarios'!$A$8:$B$8,'5. Scenarios'!$A$9:$B$9,'5. Scenarios'!$A$10:$A$12)</c:f>
              <c:strCache/>
            </c:strRef>
          </c:cat>
          <c:val>
            <c:numRef>
              <c:f>'5. Scenarios'!$D$7:$D$10</c:f>
              <c:numCache/>
            </c:numRef>
          </c:val>
        </c:ser>
        <c:ser>
          <c:idx val="1"/>
          <c:order val="1"/>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Scenarios'!$A$7:$B$7,'5. Scenarios'!$A$8:$B$8,'5. Scenarios'!$A$9:$B$9,'5. Scenarios'!$A$10:$A$12)</c:f>
              <c:strCache/>
            </c:strRef>
          </c:cat>
          <c:val>
            <c:numRef>
              <c:f>'5. Scenarios'!$F$7:$F$10</c:f>
              <c:numCache/>
            </c:numRef>
          </c:val>
        </c:ser>
        <c:overlap val="100"/>
        <c:gapWidth val="55"/>
        <c:axId val="16738900"/>
        <c:axId val="16432373"/>
      </c:barChart>
      <c:catAx>
        <c:axId val="16738900"/>
        <c:scaling>
          <c:orientation val="minMax"/>
        </c:scaling>
        <c:axPos val="l"/>
        <c:delete val="0"/>
        <c:numFmt formatCode="General" sourceLinked="1"/>
        <c:majorTickMark val="none"/>
        <c:minorTickMark val="none"/>
        <c:tickLblPos val="nextTo"/>
        <c:spPr>
          <a:ln w="3175">
            <a:solidFill>
              <a:srgbClr val="808080"/>
            </a:solidFill>
          </a:ln>
        </c:spPr>
        <c:txPr>
          <a:bodyPr vert="horz" rot="2160000"/>
          <a:lstStyle/>
          <a:p>
            <a:pPr>
              <a:defRPr lang="en-US" cap="none" sz="1000" b="0" i="0" u="none" baseline="0">
                <a:solidFill>
                  <a:srgbClr val="000000"/>
                </a:solidFill>
                <a:latin typeface="Calibri"/>
                <a:ea typeface="Calibri"/>
                <a:cs typeface="Calibri"/>
              </a:defRPr>
            </a:pPr>
          </a:p>
        </c:txPr>
        <c:crossAx val="16432373"/>
        <c:crossesAt val="-2500"/>
        <c:auto val="1"/>
        <c:lblOffset val="100"/>
        <c:tickLblSkip val="1"/>
        <c:noMultiLvlLbl val="0"/>
      </c:catAx>
      <c:valAx>
        <c:axId val="16432373"/>
        <c:scaling>
          <c:orientation val="minMax"/>
          <c:min val="-2500"/>
        </c:scaling>
        <c:axPos val="b"/>
        <c:delete val="0"/>
        <c:numFmt formatCode="General" sourceLinked="1"/>
        <c:majorTickMark val="none"/>
        <c:minorTickMark val="none"/>
        <c:tickLblPos val="nextTo"/>
        <c:spPr>
          <a:ln w="3175">
            <a:solidFill>
              <a:srgbClr val="808080"/>
            </a:solidFill>
          </a:ln>
        </c:spPr>
        <c:crossAx val="16738900"/>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Calibri"/>
                <a:ea typeface="Calibri"/>
                <a:cs typeface="Calibri"/>
              </a:rPr>
              <a:t>Impact Uncertainty 
</a:t>
            </a:r>
            <a:r>
              <a:rPr lang="en-US" cap="none" sz="1800" b="1" i="0" u="none" baseline="0">
                <a:solidFill>
                  <a:srgbClr val="000000"/>
                </a:solidFill>
                <a:latin typeface="Calibri"/>
                <a:ea typeface="Calibri"/>
                <a:cs typeface="Calibri"/>
              </a:rPr>
              <a:t>(kgCO2e/person/yr)
</a:t>
            </a:r>
          </a:p>
        </c:rich>
      </c:tx>
      <c:layout>
        <c:manualLayout>
          <c:xMode val="factor"/>
          <c:yMode val="factor"/>
          <c:x val="-0.00175"/>
          <c:y val="-0.00975"/>
        </c:manualLayout>
      </c:layout>
      <c:spPr>
        <a:noFill/>
        <a:ln>
          <a:noFill/>
        </a:ln>
      </c:spPr>
    </c:title>
    <c:plotArea>
      <c:layout>
        <c:manualLayout>
          <c:xMode val="edge"/>
          <c:yMode val="edge"/>
          <c:x val="0.0065"/>
          <c:y val="0.19125"/>
          <c:w val="0.94575"/>
          <c:h val="0.81225"/>
        </c:manualLayout>
      </c:layout>
      <c:barChart>
        <c:barDir val="col"/>
        <c:grouping val="clustered"/>
        <c:varyColors val="0"/>
        <c:ser>
          <c:idx val="0"/>
          <c:order val="0"/>
          <c:tx>
            <c:v>Brownfield</c:v>
          </c:tx>
          <c:spPr>
            <a:solidFill>
              <a:srgbClr val="C4BD9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('6.Uncertainty'!$D$32,'6.Uncertainty'!$D$34:$D$35)</c:f>
                <c:numCache>
                  <c:ptCount val="3"/>
                  <c:pt idx="0">
                    <c:v>5171.394435077346</c:v>
                  </c:pt>
                  <c:pt idx="1">
                    <c:v>20217.4125</c:v>
                  </c:pt>
                  <c:pt idx="2">
                    <c:v>12544.01533018868</c:v>
                  </c:pt>
                </c:numCache>
              </c:numRef>
            </c:plus>
            <c:minus>
              <c:numRef>
                <c:f>('6.Uncertainty'!$C$32,'6.Uncertainty'!$C$34:$C$35)</c:f>
                <c:numCache>
                  <c:ptCount val="3"/>
                  <c:pt idx="0">
                    <c:v>444.43248945150924</c:v>
                  </c:pt>
                  <c:pt idx="1">
                    <c:v>145.359375</c:v>
                  </c:pt>
                  <c:pt idx="2">
                    <c:v>26.1788146021329</c:v>
                  </c:pt>
                </c:numCache>
              </c:numRef>
            </c:minus>
            <c:noEndCap val="0"/>
            <c:spPr>
              <a:ln w="3175">
                <a:noFill/>
              </a:ln>
            </c:spPr>
          </c:errBars>
          <c:cat>
            <c:strRef>
              <c:f>('6.Uncertainty'!$A$32,'6.Uncertainty'!$A$34:$A$35)</c:f>
              <c:strCache/>
            </c:strRef>
          </c:cat>
          <c:val>
            <c:numRef>
              <c:f>('6.Uncertainty'!$B$32,'6.Uncertainty'!$B$34:$B$35)</c:f>
              <c:numCache/>
            </c:numRef>
          </c:val>
        </c:ser>
        <c:ser>
          <c:idx val="1"/>
          <c:order val="1"/>
          <c:tx>
            <c:v>Greenfield</c:v>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('6.Uncertainty'!$G$32,'6.Uncertainty'!$G$34:$G$35)</c:f>
                <c:numCache>
                  <c:ptCount val="3"/>
                  <c:pt idx="0">
                    <c:v>0</c:v>
                  </c:pt>
                  <c:pt idx="1">
                    <c:v>18662.22692307692</c:v>
                  </c:pt>
                  <c:pt idx="2">
                    <c:v>11579.09107402032</c:v>
                  </c:pt>
                </c:numCache>
              </c:numRef>
            </c:plus>
            <c:minus>
              <c:numRef>
                <c:f>('6.Uncertainty'!$F$32,'6.Uncertainty'!$F$34:$F$35)</c:f>
                <c:numCache>
                  <c:ptCount val="3"/>
                  <c:pt idx="0">
                    <c:v>0</c:v>
                  </c:pt>
                  <c:pt idx="1">
                    <c:v>134.1778846153846</c:v>
                  </c:pt>
                  <c:pt idx="2">
                    <c:v>24.165059632738057</c:v>
                  </c:pt>
                </c:numCache>
              </c:numRef>
            </c:minus>
            <c:noEndCap val="0"/>
            <c:spPr>
              <a:ln w="3175">
                <a:solidFill>
                  <a:srgbClr val="000000"/>
                </a:solidFill>
              </a:ln>
            </c:spPr>
          </c:errBars>
          <c:val>
            <c:numRef>
              <c:f>('6.Uncertainty'!$E$32,'6.Uncertainty'!$E$34:$E$35)</c:f>
              <c:numCache/>
            </c:numRef>
          </c:val>
        </c:ser>
        <c:axId val="13673630"/>
        <c:axId val="55953807"/>
      </c:barChart>
      <c:catAx>
        <c:axId val="13673630"/>
        <c:scaling>
          <c:orientation val="minMax"/>
        </c:scaling>
        <c:axPos val="b"/>
        <c:delete val="0"/>
        <c:numFmt formatCode="General" sourceLinked="1"/>
        <c:majorTickMark val="none"/>
        <c:minorTickMark val="none"/>
        <c:tickLblPos val="nextTo"/>
        <c:spPr>
          <a:ln w="3175">
            <a:solidFill>
              <a:srgbClr val="808080"/>
            </a:solidFill>
          </a:ln>
        </c:spPr>
        <c:crossAx val="55953807"/>
        <c:crosses val="autoZero"/>
        <c:auto val="1"/>
        <c:lblOffset val="100"/>
        <c:tickLblSkip val="1"/>
        <c:noMultiLvlLbl val="0"/>
      </c:catAx>
      <c:valAx>
        <c:axId val="55953807"/>
        <c:scaling>
          <c:orientation val="minMax"/>
          <c:min val="0"/>
        </c:scaling>
        <c:axPos val="l"/>
        <c:delete val="0"/>
        <c:numFmt formatCode="General" sourceLinked="1"/>
        <c:majorTickMark val="none"/>
        <c:minorTickMark val="none"/>
        <c:tickLblPos val="nextTo"/>
        <c:spPr>
          <a:ln w="3175">
            <a:solidFill>
              <a:srgbClr val="808080"/>
            </a:solidFill>
          </a:ln>
        </c:spPr>
        <c:crossAx val="13673630"/>
        <c:crossesAt val="1"/>
        <c:crossBetween val="between"/>
        <c:dispUnits/>
      </c:valAx>
      <c:spPr>
        <a:solidFill>
          <a:srgbClr val="FFFFFF"/>
        </a:solidFill>
        <a:ln w="3175">
          <a:noFill/>
        </a:ln>
      </c:spPr>
    </c:plotArea>
    <c:legend>
      <c:legendPos val="r"/>
      <c:layout>
        <c:manualLayout>
          <c:xMode val="edge"/>
          <c:yMode val="edge"/>
          <c:x val="0.22175"/>
          <c:y val="0.50325"/>
          <c:w val="0.1485"/>
          <c:h val="0.133"/>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Cost Uncertainty
</a:t>
            </a:r>
            <a:r>
              <a:rPr lang="en-US" cap="none" sz="1800" b="1" i="0" u="none" baseline="0">
                <a:solidFill>
                  <a:srgbClr val="000000"/>
                </a:solidFill>
                <a:latin typeface="Calibri"/>
                <a:ea typeface="Calibri"/>
                <a:cs typeface="Calibri"/>
              </a:rPr>
              <a:t>($/person/year)</a:t>
            </a:r>
          </a:p>
        </c:rich>
      </c:tx>
      <c:layout>
        <c:manualLayout>
          <c:xMode val="factor"/>
          <c:yMode val="factor"/>
          <c:x val="-0.00175"/>
          <c:y val="-0.0125"/>
        </c:manualLayout>
      </c:layout>
      <c:spPr>
        <a:noFill/>
        <a:ln>
          <a:noFill/>
        </a:ln>
      </c:spPr>
    </c:title>
    <c:plotArea>
      <c:layout>
        <c:manualLayout>
          <c:xMode val="edge"/>
          <c:yMode val="edge"/>
          <c:x val="0.0225"/>
          <c:y val="0.1675"/>
          <c:w val="0.9305"/>
          <c:h val="0.84825"/>
        </c:manualLayout>
      </c:layout>
      <c:barChart>
        <c:barDir val="col"/>
        <c:grouping val="clustered"/>
        <c:varyColors val="0"/>
        <c:ser>
          <c:idx val="0"/>
          <c:order val="0"/>
          <c:tx>
            <c:strRef>
              <c:f>'6.Uncertainty'!$B$16:$D$16</c:f>
              <c:strCache>
                <c:ptCount val="1"/>
                <c:pt idx="0">
                  <c:v>Brownfield</c:v>
                </c:pt>
              </c:strCache>
            </c:strRef>
          </c:tx>
          <c:spPr>
            <a:solidFill>
              <a:srgbClr val="C4BD9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('6.Uncertainty'!$D$18,'6.Uncertainty'!$D$20:$D$21,'6.Uncertainty'!$D$24:$D$26)</c:f>
                <c:numCache>
                  <c:ptCount val="6"/>
                  <c:pt idx="0">
                    <c:v>2025.8189770468282</c:v>
                  </c:pt>
                  <c:pt idx="1">
                    <c:v>4056.666666666667</c:v>
                  </c:pt>
                  <c:pt idx="2">
                    <c:v>2395.8333333333335</c:v>
                  </c:pt>
                  <c:pt idx="3">
                    <c:v>202.2631646694966</c:v>
                  </c:pt>
                  <c:pt idx="4">
                    <c:v>370</c:v>
                  </c:pt>
                  <c:pt idx="5">
                    <c:v>1325.3330081001473</c:v>
                  </c:pt>
                </c:numCache>
              </c:numRef>
            </c:plus>
            <c:minus>
              <c:numRef>
                <c:f>('6.Uncertainty'!$C$18,'6.Uncertainty'!$C$20:$C$21,'6.Uncertainty'!$C$24:$C$26)</c:f>
                <c:numCache>
                  <c:ptCount val="6"/>
                  <c:pt idx="0">
                    <c:v>174.1000000000127</c:v>
                  </c:pt>
                  <c:pt idx="1">
                    <c:v>29.166666666666668</c:v>
                  </c:pt>
                  <c:pt idx="2">
                    <c:v>5</c:v>
                  </c:pt>
                  <c:pt idx="3">
                    <c:v>83.69715687659055</c:v>
                  </c:pt>
                  <c:pt idx="4">
                    <c:v>5</c:v>
                  </c:pt>
                  <c:pt idx="5">
                    <c:v>293.5536354013255</c:v>
                  </c:pt>
                </c:numCache>
              </c:numRef>
            </c:minus>
            <c:noEndCap val="0"/>
            <c:spPr>
              <a:ln w="3175">
                <a:noFill/>
              </a:ln>
            </c:spPr>
          </c:errBars>
          <c:cat>
            <c:strRef>
              <c:f>('6.Uncertainty'!$A$18,'6.Uncertainty'!$A$20:$A$21,'6.Uncertainty'!$A$24:$A$26)</c:f>
              <c:strCache/>
            </c:strRef>
          </c:cat>
          <c:val>
            <c:numRef>
              <c:f>('6.Uncertainty'!$B$18,'6.Uncertainty'!$B$20:$B$21,'6.Uncertainty'!$B$24:$B$26)</c:f>
              <c:numCache/>
            </c:numRef>
          </c:val>
        </c:ser>
        <c:ser>
          <c:idx val="1"/>
          <c:order val="1"/>
          <c:tx>
            <c:strRef>
              <c:f>'6.Uncertainty'!$E$16:$G$16</c:f>
              <c:strCache>
                <c:ptCount val="1"/>
                <c:pt idx="0">
                  <c:v>Greenfield</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('6.Uncertainty'!$G$18,'6.Uncertainty'!$G$20:$G$21,'6.Uncertainty'!$G$24:$G$26)</c:f>
                <c:numCache>
                  <c:ptCount val="6"/>
                  <c:pt idx="0">
                    <c:v>0</c:v>
                  </c:pt>
                  <c:pt idx="1">
                    <c:v>3744.6153846153843</c:v>
                  </c:pt>
                  <c:pt idx="2">
                    <c:v>2211.5384615384614</c:v>
                  </c:pt>
                  <c:pt idx="3">
                    <c:v>390.03328908870265</c:v>
                  </c:pt>
                  <c:pt idx="4">
                    <c:v>850</c:v>
                  </c:pt>
                  <c:pt idx="5">
                    <c:v>2555.7001104565534</c:v>
                  </c:pt>
                </c:numCache>
              </c:numRef>
            </c:plus>
            <c:minus>
              <c:numRef>
                <c:f>('6.Uncertainty'!$F$18,'6.Uncertainty'!$F$20:$F$21,'6.Uncertainty'!$F$24:$F$26)</c:f>
                <c:numCache>
                  <c:ptCount val="6"/>
                  <c:pt idx="0">
                    <c:v>0</c:v>
                  </c:pt>
                  <c:pt idx="1">
                    <c:v>26.923076923076923</c:v>
                  </c:pt>
                  <c:pt idx="2">
                    <c:v>4.615384615384615</c:v>
                  </c:pt>
                  <c:pt idx="3">
                    <c:v>161.3970464532779</c:v>
                  </c:pt>
                  <c:pt idx="4">
                    <c:v>10</c:v>
                  </c:pt>
                  <c:pt idx="5">
                    <c:v>566.0728691089838</c:v>
                  </c:pt>
                </c:numCache>
              </c:numRef>
            </c:minus>
            <c:noEndCap val="0"/>
            <c:spPr>
              <a:ln w="3175">
                <a:solidFill>
                  <a:srgbClr val="000000"/>
                </a:solidFill>
              </a:ln>
            </c:spPr>
          </c:errBars>
          <c:val>
            <c:numRef>
              <c:f>('6.Uncertainty'!$E$18,'6.Uncertainty'!$E$20:$E$21,'6.Uncertainty'!$E$24:$E$26)</c:f>
              <c:numCache/>
            </c:numRef>
          </c:val>
        </c:ser>
        <c:axId val="33822216"/>
        <c:axId val="35964489"/>
      </c:barChart>
      <c:catAx>
        <c:axId val="33822216"/>
        <c:scaling>
          <c:orientation val="minMax"/>
        </c:scaling>
        <c:axPos val="b"/>
        <c:delete val="0"/>
        <c:numFmt formatCode="General" sourceLinked="1"/>
        <c:majorTickMark val="none"/>
        <c:minorTickMark val="none"/>
        <c:tickLblPos val="nextTo"/>
        <c:spPr>
          <a:ln w="3175">
            <a:solidFill>
              <a:srgbClr val="808080"/>
            </a:solidFill>
          </a:ln>
        </c:spPr>
        <c:crossAx val="35964489"/>
        <c:crosses val="autoZero"/>
        <c:auto val="1"/>
        <c:lblOffset val="100"/>
        <c:tickLblSkip val="1"/>
        <c:noMultiLvlLbl val="0"/>
      </c:catAx>
      <c:valAx>
        <c:axId val="35964489"/>
        <c:scaling>
          <c:orientation val="minMax"/>
        </c:scaling>
        <c:axPos val="l"/>
        <c:delete val="0"/>
        <c:numFmt formatCode="General" sourceLinked="1"/>
        <c:majorTickMark val="out"/>
        <c:minorTickMark val="none"/>
        <c:tickLblPos val="nextTo"/>
        <c:spPr>
          <a:ln w="3175">
            <a:solidFill>
              <a:srgbClr val="808080"/>
            </a:solidFill>
          </a:ln>
        </c:spPr>
        <c:crossAx val="33822216"/>
        <c:crossesAt val="1"/>
        <c:crossBetween val="between"/>
        <c:dispUnits/>
        <c:majorUnit val="1000"/>
      </c:valAx>
      <c:spPr>
        <a:solidFill>
          <a:srgbClr val="FFFFFF"/>
        </a:solidFill>
        <a:ln w="3175">
          <a:noFill/>
        </a:ln>
      </c:spPr>
    </c:plotArea>
    <c:legend>
      <c:legendPos val="r"/>
      <c:layout>
        <c:manualLayout>
          <c:xMode val="edge"/>
          <c:yMode val="edge"/>
          <c:x val="0.42775"/>
          <c:y val="0.3715"/>
          <c:w val="0.14075"/>
          <c:h val="0.117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28</xdr:row>
      <xdr:rowOff>19050</xdr:rowOff>
    </xdr:from>
    <xdr:to>
      <xdr:col>7</xdr:col>
      <xdr:colOff>0</xdr:colOff>
      <xdr:row>31</xdr:row>
      <xdr:rowOff>19050</xdr:rowOff>
    </xdr:to>
    <xdr:pic>
      <xdr:nvPicPr>
        <xdr:cNvPr id="1" name="Picture 1" descr="Black_CIT_EPS_Logo.eps"/>
        <xdr:cNvPicPr preferRelativeResize="1">
          <a:picLocks noChangeAspect="1"/>
        </xdr:cNvPicPr>
      </xdr:nvPicPr>
      <xdr:blipFill>
        <a:blip r:embed="rId1"/>
        <a:stretch>
          <a:fillRect/>
        </a:stretch>
      </xdr:blipFill>
      <xdr:spPr>
        <a:xfrm>
          <a:off x="2276475" y="12411075"/>
          <a:ext cx="1790700" cy="571500"/>
        </a:xfrm>
        <a:prstGeom prst="rect">
          <a:avLst/>
        </a:prstGeom>
        <a:noFill/>
        <a:ln w="9525" cmpd="sng">
          <a:noFill/>
        </a:ln>
      </xdr:spPr>
    </xdr:pic>
    <xdr:clientData/>
  </xdr:twoCellAnchor>
  <xdr:twoCellAnchor editAs="oneCell">
    <xdr:from>
      <xdr:col>0</xdr:col>
      <xdr:colOff>0</xdr:colOff>
      <xdr:row>29</xdr:row>
      <xdr:rowOff>19050</xdr:rowOff>
    </xdr:from>
    <xdr:to>
      <xdr:col>3</xdr:col>
      <xdr:colOff>76200</xdr:colOff>
      <xdr:row>31</xdr:row>
      <xdr:rowOff>28575</xdr:rowOff>
    </xdr:to>
    <xdr:pic>
      <xdr:nvPicPr>
        <xdr:cNvPr id="2" name="Picture 2" descr="GDI-SHIRTS-new-214w.jpg"/>
        <xdr:cNvPicPr preferRelativeResize="1">
          <a:picLocks noChangeAspect="1"/>
        </xdr:cNvPicPr>
      </xdr:nvPicPr>
      <xdr:blipFill>
        <a:blip r:embed="rId2"/>
        <a:stretch>
          <a:fillRect/>
        </a:stretch>
      </xdr:blipFill>
      <xdr:spPr>
        <a:xfrm>
          <a:off x="0" y="12601575"/>
          <a:ext cx="1819275" cy="390525"/>
        </a:xfrm>
        <a:prstGeom prst="rect">
          <a:avLst/>
        </a:prstGeom>
        <a:noFill/>
        <a:ln w="9525" cmpd="sng">
          <a:noFill/>
        </a:ln>
      </xdr:spPr>
    </xdr:pic>
    <xdr:clientData/>
  </xdr:twoCellAnchor>
  <xdr:twoCellAnchor editAs="oneCell">
    <xdr:from>
      <xdr:col>8</xdr:col>
      <xdr:colOff>9525</xdr:colOff>
      <xdr:row>27</xdr:row>
      <xdr:rowOff>0</xdr:rowOff>
    </xdr:from>
    <xdr:to>
      <xdr:col>9</xdr:col>
      <xdr:colOff>161925</xdr:colOff>
      <xdr:row>31</xdr:row>
      <xdr:rowOff>76200</xdr:rowOff>
    </xdr:to>
    <xdr:pic>
      <xdr:nvPicPr>
        <xdr:cNvPr id="3" name="Picture 3"/>
        <xdr:cNvPicPr preferRelativeResize="1">
          <a:picLocks noChangeAspect="1"/>
        </xdr:cNvPicPr>
      </xdr:nvPicPr>
      <xdr:blipFill>
        <a:blip r:embed="rId3"/>
        <a:srcRect l="6149" t="10525" r="10006" b="10525"/>
        <a:stretch>
          <a:fillRect/>
        </a:stretch>
      </xdr:blipFill>
      <xdr:spPr>
        <a:xfrm>
          <a:off x="4657725" y="12201525"/>
          <a:ext cx="73342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14</xdr:row>
      <xdr:rowOff>19050</xdr:rowOff>
    </xdr:from>
    <xdr:to>
      <xdr:col>3</xdr:col>
      <xdr:colOff>1228725</xdr:colOff>
      <xdr:row>33</xdr:row>
      <xdr:rowOff>152400</xdr:rowOff>
    </xdr:to>
    <xdr:graphicFrame>
      <xdr:nvGraphicFramePr>
        <xdr:cNvPr id="1" name="Chart 3"/>
        <xdr:cNvGraphicFramePr/>
      </xdr:nvGraphicFramePr>
      <xdr:xfrm>
        <a:off x="133350" y="2867025"/>
        <a:ext cx="6086475" cy="3752850"/>
      </xdr:xfrm>
      <a:graphic>
        <a:graphicData uri="http://schemas.openxmlformats.org/drawingml/2006/chart">
          <c:chart xmlns:c="http://schemas.openxmlformats.org/drawingml/2006/chart" r:id="rId1"/>
        </a:graphicData>
      </a:graphic>
    </xdr:graphicFrame>
    <xdr:clientData/>
  </xdr:twoCellAnchor>
  <xdr:twoCellAnchor>
    <xdr:from>
      <xdr:col>4</xdr:col>
      <xdr:colOff>114300</xdr:colOff>
      <xdr:row>14</xdr:row>
      <xdr:rowOff>19050</xdr:rowOff>
    </xdr:from>
    <xdr:to>
      <xdr:col>10</xdr:col>
      <xdr:colOff>0</xdr:colOff>
      <xdr:row>33</xdr:row>
      <xdr:rowOff>171450</xdr:rowOff>
    </xdr:to>
    <xdr:graphicFrame>
      <xdr:nvGraphicFramePr>
        <xdr:cNvPr id="2" name="Chart 6"/>
        <xdr:cNvGraphicFramePr/>
      </xdr:nvGraphicFramePr>
      <xdr:xfrm>
        <a:off x="6419850" y="2867025"/>
        <a:ext cx="5505450" cy="3771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28</xdr:row>
      <xdr:rowOff>0</xdr:rowOff>
    </xdr:from>
    <xdr:to>
      <xdr:col>12</xdr:col>
      <xdr:colOff>161925</xdr:colOff>
      <xdr:row>43</xdr:row>
      <xdr:rowOff>76200</xdr:rowOff>
    </xdr:to>
    <xdr:graphicFrame>
      <xdr:nvGraphicFramePr>
        <xdr:cNvPr id="1" name="Chart 12"/>
        <xdr:cNvGraphicFramePr/>
      </xdr:nvGraphicFramePr>
      <xdr:xfrm>
        <a:off x="9020175" y="5524500"/>
        <a:ext cx="5410200" cy="3019425"/>
      </xdr:xfrm>
      <a:graphic>
        <a:graphicData uri="http://schemas.openxmlformats.org/drawingml/2006/chart">
          <c:chart xmlns:c="http://schemas.openxmlformats.org/drawingml/2006/chart" r:id="rId1"/>
        </a:graphicData>
      </a:graphic>
    </xdr:graphicFrame>
    <xdr:clientData/>
  </xdr:twoCellAnchor>
  <xdr:twoCellAnchor>
    <xdr:from>
      <xdr:col>7</xdr:col>
      <xdr:colOff>247650</xdr:colOff>
      <xdr:row>6</xdr:row>
      <xdr:rowOff>133350</xdr:rowOff>
    </xdr:from>
    <xdr:to>
      <xdr:col>12</xdr:col>
      <xdr:colOff>142875</xdr:colOff>
      <xdr:row>26</xdr:row>
      <xdr:rowOff>142875</xdr:rowOff>
    </xdr:to>
    <xdr:graphicFrame>
      <xdr:nvGraphicFramePr>
        <xdr:cNvPr id="2" name="Chart 1"/>
        <xdr:cNvGraphicFramePr/>
      </xdr:nvGraphicFramePr>
      <xdr:xfrm>
        <a:off x="8982075" y="1371600"/>
        <a:ext cx="5429250" cy="39052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hyperlink" Target="http://www.bls.gov/cex/2010/Standard/tenure.pdf" TargetMode="External" /><Relationship Id="rId2" Type="http://schemas.openxmlformats.org/officeDocument/2006/relationships/hyperlink" Target="http://cfpub.epa.gov/egridweb/ghg.cfm" TargetMode="External" /><Relationship Id="rId3" Type="http://schemas.openxmlformats.org/officeDocument/2006/relationships/hyperlink" Target="http://www.mitenergyclub.org/assets/2008/11/15/Units_ConvFactors.MIT_EnergyClub_Factsheet.v8.pdf" TargetMode="External" /><Relationship Id="rId4" Type="http://schemas.openxmlformats.org/officeDocument/2006/relationships/hyperlink" Target="http://www.bts.gov/publications/national_transportation_statistics/html/table_04_23.html" TargetMode="External" /><Relationship Id="rId5" Type="http://schemas.openxmlformats.org/officeDocument/2006/relationships/hyperlink" Target="http://www.eia.gov/dnav/ng/hist/n3010us3M.htm" TargetMode="Externa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33"/>
  <sheetViews>
    <sheetView zoomScalePageLayoutView="0" workbookViewId="0" topLeftCell="A1">
      <selection activeCell="L17" sqref="L17"/>
    </sheetView>
  </sheetViews>
  <sheetFormatPr defaultColWidth="8.7109375" defaultRowHeight="15"/>
  <sheetData>
    <row r="1" ht="15">
      <c r="A1" s="199"/>
    </row>
    <row r="2" spans="1:20" ht="26.25">
      <c r="A2" s="561" t="s">
        <v>42</v>
      </c>
      <c r="B2" s="561"/>
      <c r="C2" s="561"/>
      <c r="D2" s="561"/>
      <c r="E2" s="561"/>
      <c r="F2" s="561"/>
      <c r="G2" s="561"/>
      <c r="H2" s="561"/>
      <c r="I2" s="561"/>
      <c r="J2" s="561"/>
      <c r="K2" s="561"/>
      <c r="L2" s="561"/>
      <c r="M2" s="561"/>
      <c r="N2" s="561"/>
      <c r="O2" s="561"/>
      <c r="P2" s="561"/>
      <c r="Q2" s="561"/>
      <c r="R2" s="561"/>
      <c r="S2" s="561"/>
      <c r="T2" s="561"/>
    </row>
    <row r="3" spans="1:20" ht="15">
      <c r="A3" s="23"/>
      <c r="B3" s="23"/>
      <c r="C3" s="23"/>
      <c r="D3" s="23"/>
      <c r="E3" s="23"/>
      <c r="F3" s="23"/>
      <c r="G3" s="23"/>
      <c r="H3" s="23"/>
      <c r="I3" s="23"/>
      <c r="J3" s="23"/>
      <c r="K3" s="23"/>
      <c r="L3" s="23"/>
      <c r="M3" s="23"/>
      <c r="N3" s="23"/>
      <c r="O3" s="23"/>
      <c r="P3" s="23"/>
      <c r="Q3" s="23"/>
      <c r="R3" s="23"/>
      <c r="S3" s="23"/>
      <c r="T3" s="23"/>
    </row>
    <row r="4" spans="1:11" ht="15.75">
      <c r="A4" s="384" t="s">
        <v>133</v>
      </c>
      <c r="B4" s="25"/>
      <c r="C4" s="25"/>
      <c r="D4" s="25"/>
      <c r="E4" s="25"/>
      <c r="F4" s="25"/>
      <c r="G4" s="25"/>
      <c r="H4" s="25"/>
      <c r="I4" s="25"/>
      <c r="J4" s="25"/>
      <c r="K4" s="26"/>
    </row>
    <row r="5" spans="1:13" ht="46.5" customHeight="1">
      <c r="A5" s="562" t="s">
        <v>405</v>
      </c>
      <c r="B5" s="558"/>
      <c r="C5" s="558"/>
      <c r="D5" s="558"/>
      <c r="E5" s="558"/>
      <c r="F5" s="558"/>
      <c r="G5" s="558"/>
      <c r="H5" s="558"/>
      <c r="I5" s="558"/>
      <c r="J5" s="558"/>
      <c r="K5" s="563"/>
      <c r="M5" s="24"/>
    </row>
    <row r="6" spans="1:11" ht="15.75">
      <c r="A6" s="383" t="s">
        <v>314</v>
      </c>
      <c r="B6" s="348"/>
      <c r="C6" s="348"/>
      <c r="D6" s="348"/>
      <c r="E6" s="348"/>
      <c r="F6" s="348"/>
      <c r="G6" s="348"/>
      <c r="H6" s="348"/>
      <c r="I6" s="348"/>
      <c r="J6" s="348"/>
      <c r="K6" s="349"/>
    </row>
    <row r="7" spans="1:13" ht="46.5" customHeight="1">
      <c r="A7" s="558" t="s">
        <v>404</v>
      </c>
      <c r="B7" s="559"/>
      <c r="C7" s="559"/>
      <c r="D7" s="559"/>
      <c r="E7" s="559"/>
      <c r="F7" s="559"/>
      <c r="G7" s="559"/>
      <c r="H7" s="559"/>
      <c r="I7" s="559"/>
      <c r="J7" s="559"/>
      <c r="K7" s="560"/>
      <c r="M7" s="329"/>
    </row>
    <row r="8" spans="1:11" ht="15.75">
      <c r="A8" s="382" t="s">
        <v>134</v>
      </c>
      <c r="B8" s="27"/>
      <c r="C8" s="27"/>
      <c r="D8" s="27"/>
      <c r="E8" s="27"/>
      <c r="F8" s="27"/>
      <c r="G8" s="27"/>
      <c r="H8" s="27"/>
      <c r="I8" s="27"/>
      <c r="J8" s="27"/>
      <c r="K8" s="28"/>
    </row>
    <row r="9" spans="1:13" ht="222" customHeight="1">
      <c r="A9" s="555" t="s">
        <v>406</v>
      </c>
      <c r="B9" s="570"/>
      <c r="C9" s="570"/>
      <c r="D9" s="570"/>
      <c r="E9" s="570"/>
      <c r="F9" s="570"/>
      <c r="G9" s="570"/>
      <c r="H9" s="570"/>
      <c r="I9" s="570"/>
      <c r="J9" s="570"/>
      <c r="K9" s="571"/>
      <c r="M9" s="39"/>
    </row>
    <row r="10" spans="1:13" ht="9.75" customHeight="1">
      <c r="A10" s="392"/>
      <c r="B10" s="393"/>
      <c r="C10" s="393"/>
      <c r="D10" s="393"/>
      <c r="E10" s="393"/>
      <c r="F10" s="393"/>
      <c r="G10" s="393"/>
      <c r="H10" s="393"/>
      <c r="I10" s="393"/>
      <c r="J10" s="393"/>
      <c r="K10" s="394"/>
      <c r="M10" s="39"/>
    </row>
    <row r="11" spans="1:11" ht="48" customHeight="1">
      <c r="A11" s="555" t="s">
        <v>407</v>
      </c>
      <c r="B11" s="570"/>
      <c r="C11" s="570"/>
      <c r="D11" s="570"/>
      <c r="E11" s="570"/>
      <c r="F11" s="570"/>
      <c r="G11" s="570"/>
      <c r="H11" s="570"/>
      <c r="I11" s="570"/>
      <c r="J11" s="570"/>
      <c r="K11" s="571"/>
    </row>
    <row r="12" spans="1:11" ht="46.5" customHeight="1">
      <c r="A12" s="555" t="s">
        <v>408</v>
      </c>
      <c r="B12" s="570"/>
      <c r="C12" s="570"/>
      <c r="D12" s="570"/>
      <c r="E12" s="570"/>
      <c r="F12" s="570"/>
      <c r="G12" s="570"/>
      <c r="H12" s="570"/>
      <c r="I12" s="570"/>
      <c r="J12" s="570"/>
      <c r="K12" s="571"/>
    </row>
    <row r="13" spans="1:11" ht="63.75" customHeight="1">
      <c r="A13" s="555" t="s">
        <v>409</v>
      </c>
      <c r="B13" s="556"/>
      <c r="C13" s="556"/>
      <c r="D13" s="556"/>
      <c r="E13" s="556"/>
      <c r="F13" s="556"/>
      <c r="G13" s="556"/>
      <c r="H13" s="556"/>
      <c r="I13" s="556"/>
      <c r="J13" s="556"/>
      <c r="K13" s="557"/>
    </row>
    <row r="14" spans="1:11" ht="99" customHeight="1">
      <c r="A14" s="564" t="s">
        <v>310</v>
      </c>
      <c r="B14" s="565"/>
      <c r="C14" s="565"/>
      <c r="D14" s="565"/>
      <c r="E14" s="565"/>
      <c r="F14" s="565"/>
      <c r="G14" s="565"/>
      <c r="H14" s="565"/>
      <c r="I14" s="565"/>
      <c r="J14" s="565"/>
      <c r="K14" s="566"/>
    </row>
    <row r="15" spans="1:11" ht="33.75" customHeight="1">
      <c r="A15" s="572" t="s">
        <v>311</v>
      </c>
      <c r="B15" s="573"/>
      <c r="C15" s="573"/>
      <c r="D15" s="573"/>
      <c r="E15" s="573"/>
      <c r="F15" s="573"/>
      <c r="G15" s="573"/>
      <c r="H15" s="573"/>
      <c r="I15" s="573"/>
      <c r="J15" s="573"/>
      <c r="K15" s="574"/>
    </row>
    <row r="16" spans="1:11" ht="38.25" customHeight="1">
      <c r="A16" s="572" t="s">
        <v>312</v>
      </c>
      <c r="B16" s="573"/>
      <c r="C16" s="573"/>
      <c r="D16" s="573"/>
      <c r="E16" s="573"/>
      <c r="F16" s="573"/>
      <c r="G16" s="573"/>
      <c r="H16" s="573"/>
      <c r="I16" s="573"/>
      <c r="J16" s="573"/>
      <c r="K16" s="574"/>
    </row>
    <row r="17" spans="1:11" ht="52.5" customHeight="1">
      <c r="A17" s="567" t="s">
        <v>313</v>
      </c>
      <c r="B17" s="568"/>
      <c r="C17" s="568"/>
      <c r="D17" s="568"/>
      <c r="E17" s="568"/>
      <c r="F17" s="568"/>
      <c r="G17" s="568"/>
      <c r="H17" s="568"/>
      <c r="I17" s="568"/>
      <c r="J17" s="568"/>
      <c r="K17" s="569"/>
    </row>
    <row r="20" spans="1:11" ht="15.75">
      <c r="A20" s="32" t="s">
        <v>136</v>
      </c>
      <c r="B20" s="29"/>
      <c r="C20" s="29"/>
      <c r="D20" s="29"/>
      <c r="E20" s="29"/>
      <c r="F20" s="29"/>
      <c r="G20" s="29"/>
      <c r="H20" s="29"/>
      <c r="I20" s="29"/>
      <c r="J20" s="29"/>
      <c r="K20" s="30"/>
    </row>
    <row r="21" spans="1:11" ht="15">
      <c r="A21" s="33" t="s">
        <v>137</v>
      </c>
      <c r="B21" s="34"/>
      <c r="C21" s="34"/>
      <c r="D21" s="34"/>
      <c r="E21" s="34"/>
      <c r="F21" s="34"/>
      <c r="G21" s="34"/>
      <c r="H21" s="34"/>
      <c r="I21" s="34"/>
      <c r="J21" s="34"/>
      <c r="K21" s="35"/>
    </row>
    <row r="22" spans="1:11" ht="15">
      <c r="A22" s="33"/>
      <c r="B22" s="34"/>
      <c r="C22" s="34"/>
      <c r="D22" s="34"/>
      <c r="E22" s="34"/>
      <c r="F22" s="34"/>
      <c r="G22" s="34"/>
      <c r="H22" s="34"/>
      <c r="I22" s="34"/>
      <c r="J22" s="34"/>
      <c r="K22" s="35"/>
    </row>
    <row r="23" spans="1:11" ht="15">
      <c r="A23" s="33" t="s">
        <v>138</v>
      </c>
      <c r="B23" s="34"/>
      <c r="C23" s="34"/>
      <c r="D23" s="34"/>
      <c r="E23" s="34"/>
      <c r="F23" s="34"/>
      <c r="G23" s="34"/>
      <c r="H23" s="34"/>
      <c r="I23" s="34"/>
      <c r="J23" s="34"/>
      <c r="K23" s="35"/>
    </row>
    <row r="24" spans="1:11" ht="15">
      <c r="A24" s="33" t="s">
        <v>139</v>
      </c>
      <c r="B24" s="34"/>
      <c r="C24" s="34"/>
      <c r="D24" s="34"/>
      <c r="E24" s="34"/>
      <c r="F24" s="34"/>
      <c r="G24" s="34"/>
      <c r="H24" s="34"/>
      <c r="I24" s="34"/>
      <c r="J24" s="34"/>
      <c r="K24" s="35"/>
    </row>
    <row r="25" spans="1:11" ht="15">
      <c r="A25" s="33" t="s">
        <v>135</v>
      </c>
      <c r="B25" s="34"/>
      <c r="C25" s="34"/>
      <c r="D25" s="34"/>
      <c r="E25" s="34"/>
      <c r="F25" s="34"/>
      <c r="G25" s="34"/>
      <c r="H25" s="34"/>
      <c r="I25" s="34"/>
      <c r="J25" s="34"/>
      <c r="K25" s="35"/>
    </row>
    <row r="26" spans="1:11" ht="15">
      <c r="A26" s="36" t="s">
        <v>41</v>
      </c>
      <c r="B26" s="37"/>
      <c r="C26" s="37"/>
      <c r="D26" s="37"/>
      <c r="E26" s="37"/>
      <c r="F26" s="37"/>
      <c r="G26" s="37"/>
      <c r="H26" s="37"/>
      <c r="I26" s="37"/>
      <c r="J26" s="37"/>
      <c r="K26" s="38"/>
    </row>
    <row r="33" ht="15">
      <c r="D33" s="31" t="s">
        <v>328</v>
      </c>
    </row>
  </sheetData>
  <sheetProtection/>
  <mergeCells count="11">
    <mergeCell ref="A16:K16"/>
    <mergeCell ref="A13:K13"/>
    <mergeCell ref="A7:K7"/>
    <mergeCell ref="A2:T2"/>
    <mergeCell ref="A5:K5"/>
    <mergeCell ref="A14:K14"/>
    <mergeCell ref="A17:K17"/>
    <mergeCell ref="A12:K12"/>
    <mergeCell ref="A11:K11"/>
    <mergeCell ref="A9:K9"/>
    <mergeCell ref="A15:K15"/>
  </mergeCells>
  <printOptions/>
  <pageMargins left="0.7" right="0.7" top="0.75" bottom="0.75" header="0.3" footer="0.3"/>
  <pageSetup horizontalDpi="600" verticalDpi="600" orientation="landscape"/>
  <drawing r:id="rId1"/>
</worksheet>
</file>

<file path=xl/worksheets/sheet2.xml><?xml version="1.0" encoding="utf-8"?>
<worksheet xmlns="http://schemas.openxmlformats.org/spreadsheetml/2006/main" xmlns:r="http://schemas.openxmlformats.org/officeDocument/2006/relationships">
  <sheetPr>
    <pageSetUpPr fitToPage="1"/>
  </sheetPr>
  <dimension ref="A1:J102"/>
  <sheetViews>
    <sheetView zoomScale="70" zoomScaleNormal="70" zoomScalePageLayoutView="0" workbookViewId="0" topLeftCell="A15">
      <selection activeCell="J22" sqref="J22"/>
    </sheetView>
  </sheetViews>
  <sheetFormatPr defaultColWidth="8.7109375" defaultRowHeight="15"/>
  <cols>
    <col min="1" max="1" width="14.28125" style="0" bestFit="1" customWidth="1"/>
    <col min="2" max="2" width="50.7109375" style="1" bestFit="1" customWidth="1"/>
    <col min="3" max="3" width="21.7109375" style="0" bestFit="1" customWidth="1"/>
    <col min="4" max="4" width="28.7109375" style="0" bestFit="1" customWidth="1"/>
    <col min="5" max="5" width="25.140625" style="0" bestFit="1" customWidth="1"/>
    <col min="6" max="6" width="25.7109375" style="0" customWidth="1"/>
    <col min="7" max="7" width="21.28125" style="0" bestFit="1" customWidth="1"/>
    <col min="8" max="8" width="49.28125" style="0" customWidth="1"/>
    <col min="9" max="9" width="34.00390625" style="0" customWidth="1"/>
    <col min="10" max="10" width="26.8515625" style="0" customWidth="1"/>
  </cols>
  <sheetData>
    <row r="1" spans="1:2" ht="26.25">
      <c r="A1" s="561" t="s">
        <v>43</v>
      </c>
      <c r="B1" s="561"/>
    </row>
    <row r="2" spans="1:3" ht="14.25" customHeight="1">
      <c r="A2" s="645" t="s">
        <v>356</v>
      </c>
      <c r="B2" s="645"/>
      <c r="C2" s="645"/>
    </row>
    <row r="3" spans="1:3" ht="25.5" customHeight="1">
      <c r="A3" s="645"/>
      <c r="B3" s="645"/>
      <c r="C3" s="645"/>
    </row>
    <row r="4" spans="1:3" ht="25.5" customHeight="1">
      <c r="A4" s="645"/>
      <c r="B4" s="645"/>
      <c r="C4" s="645"/>
    </row>
    <row r="5" spans="1:3" ht="25.5" customHeight="1">
      <c r="A5" s="645"/>
      <c r="B5" s="645"/>
      <c r="C5" s="645"/>
    </row>
    <row r="6" spans="1:3" ht="25.5" customHeight="1">
      <c r="A6" s="645"/>
      <c r="B6" s="645"/>
      <c r="C6" s="645"/>
    </row>
    <row r="7" spans="1:3" ht="25.5" customHeight="1">
      <c r="A7" s="645"/>
      <c r="B7" s="645"/>
      <c r="C7" s="645"/>
    </row>
    <row r="8" spans="1:3" ht="25.5" customHeight="1">
      <c r="A8" s="645"/>
      <c r="B8" s="645"/>
      <c r="C8" s="645"/>
    </row>
    <row r="9" spans="1:3" ht="25.5" customHeight="1">
      <c r="A9" s="645"/>
      <c r="B9" s="645"/>
      <c r="C9" s="645"/>
    </row>
    <row r="10" ht="15.75" thickBot="1"/>
    <row r="11" spans="1:6" ht="21.75" thickBot="1">
      <c r="A11" s="621" t="s">
        <v>142</v>
      </c>
      <c r="B11" s="621"/>
      <c r="C11" s="613"/>
      <c r="D11" s="614"/>
      <c r="E11" s="614"/>
      <c r="F11" s="615"/>
    </row>
    <row r="12" spans="1:6" s="1" customFormat="1" ht="15">
      <c r="A12" s="598" t="s">
        <v>280</v>
      </c>
      <c r="B12" s="599"/>
      <c r="C12" s="590"/>
      <c r="D12" s="591"/>
      <c r="E12" s="591"/>
      <c r="F12" s="592"/>
    </row>
    <row r="13" spans="1:6" s="1" customFormat="1" ht="15">
      <c r="A13" s="600" t="s">
        <v>130</v>
      </c>
      <c r="B13" s="601"/>
      <c r="C13" s="622"/>
      <c r="D13" s="623"/>
      <c r="E13" s="623"/>
      <c r="F13" s="624"/>
    </row>
    <row r="14" spans="1:7" ht="15">
      <c r="A14" s="649" t="s">
        <v>281</v>
      </c>
      <c r="B14" s="650"/>
      <c r="C14" s="627"/>
      <c r="D14" s="628"/>
      <c r="E14" s="628"/>
      <c r="F14" s="629"/>
      <c r="G14" s="216"/>
    </row>
    <row r="15" spans="1:6" ht="15.75" thickBot="1">
      <c r="A15" s="630" t="s">
        <v>131</v>
      </c>
      <c r="B15" s="631"/>
      <c r="C15" s="593"/>
      <c r="D15" s="594"/>
      <c r="E15" s="594"/>
      <c r="F15" s="595"/>
    </row>
    <row r="16" spans="1:6" ht="15">
      <c r="A16" s="217"/>
      <c r="B16" s="217"/>
      <c r="C16" s="18"/>
      <c r="D16" s="18"/>
      <c r="E16" s="18"/>
      <c r="F16" s="18"/>
    </row>
    <row r="17" spans="1:6" ht="15">
      <c r="A17" s="217"/>
      <c r="B17" s="217"/>
      <c r="C17" s="18"/>
      <c r="D17" s="18"/>
      <c r="E17" s="18"/>
      <c r="F17" s="18"/>
    </row>
    <row r="18" spans="2:8" ht="15.75" thickBot="1">
      <c r="B18" s="9"/>
      <c r="C18" s="9"/>
      <c r="D18" s="9"/>
      <c r="E18" s="8"/>
      <c r="F18" s="8"/>
      <c r="G18" s="8"/>
      <c r="H18" s="8"/>
    </row>
    <row r="19" spans="1:8" ht="42.75" thickBot="1">
      <c r="A19" s="262" t="s">
        <v>141</v>
      </c>
      <c r="B19" s="262"/>
      <c r="C19" s="263" t="s">
        <v>278</v>
      </c>
      <c r="D19" s="605" t="s">
        <v>277</v>
      </c>
      <c r="E19" s="632"/>
      <c r="F19" s="632"/>
      <c r="G19" s="633"/>
      <c r="H19" s="273" t="s">
        <v>291</v>
      </c>
    </row>
    <row r="20" spans="1:10" ht="30.75" customHeight="1" thickBot="1">
      <c r="A20" s="596" t="s">
        <v>254</v>
      </c>
      <c r="B20" s="597"/>
      <c r="C20" s="261" t="s">
        <v>24</v>
      </c>
      <c r="D20" s="251" t="s">
        <v>140</v>
      </c>
      <c r="E20" s="213" t="s">
        <v>201</v>
      </c>
      <c r="F20" s="212" t="s">
        <v>105</v>
      </c>
      <c r="G20" s="203" t="s">
        <v>279</v>
      </c>
      <c r="H20" s="264"/>
      <c r="I20" s="1"/>
      <c r="J20" s="1"/>
    </row>
    <row r="21" spans="1:8" ht="90">
      <c r="A21" s="646" t="s">
        <v>98</v>
      </c>
      <c r="B21" s="79" t="s">
        <v>55</v>
      </c>
      <c r="C21" s="360">
        <v>35</v>
      </c>
      <c r="D21" s="252">
        <v>35</v>
      </c>
      <c r="E21" s="204">
        <v>3</v>
      </c>
      <c r="F21" s="204">
        <v>145</v>
      </c>
      <c r="G21" s="204" t="s">
        <v>56</v>
      </c>
      <c r="H21" s="275" t="s">
        <v>410</v>
      </c>
    </row>
    <row r="22" spans="1:8" ht="105">
      <c r="A22" s="647"/>
      <c r="B22" s="80" t="s">
        <v>57</v>
      </c>
      <c r="C22" s="361">
        <v>6.6</v>
      </c>
      <c r="D22" s="253">
        <v>6.4</v>
      </c>
      <c r="E22" s="205">
        <f>0.6*1.61</f>
        <v>0.966</v>
      </c>
      <c r="F22" s="205">
        <f>8.7*1.61</f>
        <v>14.007</v>
      </c>
      <c r="G22" s="205" t="s">
        <v>58</v>
      </c>
      <c r="H22" s="276" t="s">
        <v>417</v>
      </c>
    </row>
    <row r="23" spans="1:8" ht="90">
      <c r="A23" s="647"/>
      <c r="B23" s="81" t="s">
        <v>276</v>
      </c>
      <c r="C23" s="361">
        <v>325</v>
      </c>
      <c r="D23" s="253">
        <v>325</v>
      </c>
      <c r="E23" s="205">
        <v>59</v>
      </c>
      <c r="F23" s="205">
        <v>900</v>
      </c>
      <c r="G23" s="205" t="s">
        <v>335</v>
      </c>
      <c r="H23" s="276" t="s">
        <v>411</v>
      </c>
    </row>
    <row r="24" spans="1:10" s="2" customFormat="1" ht="30">
      <c r="A24" s="647"/>
      <c r="B24" s="81" t="s">
        <v>275</v>
      </c>
      <c r="C24" s="362">
        <f>C23/C21</f>
        <v>9.285714285714286</v>
      </c>
      <c r="D24" s="253">
        <v>12</v>
      </c>
      <c r="E24" s="205">
        <v>5</v>
      </c>
      <c r="F24" s="205">
        <v>66</v>
      </c>
      <c r="G24" s="205" t="s">
        <v>59</v>
      </c>
      <c r="H24" s="276" t="s">
        <v>412</v>
      </c>
      <c r="I24"/>
      <c r="J24"/>
    </row>
    <row r="25" spans="1:8" ht="60.75" thickBot="1">
      <c r="A25" s="648"/>
      <c r="B25" s="81" t="s">
        <v>265</v>
      </c>
      <c r="C25" s="361">
        <v>2.4</v>
      </c>
      <c r="D25" s="253">
        <v>2.4</v>
      </c>
      <c r="E25" s="484" t="s">
        <v>264</v>
      </c>
      <c r="F25" s="485" t="s">
        <v>264</v>
      </c>
      <c r="G25" s="205" t="s">
        <v>60</v>
      </c>
      <c r="H25" s="378" t="s">
        <v>322</v>
      </c>
    </row>
    <row r="26" spans="1:8" ht="45">
      <c r="A26" s="53" t="s">
        <v>99</v>
      </c>
      <c r="B26" s="79" t="s">
        <v>62</v>
      </c>
      <c r="C26" s="552">
        <v>237000</v>
      </c>
      <c r="D26" s="328">
        <v>237000</v>
      </c>
      <c r="E26" s="542">
        <v>30000</v>
      </c>
      <c r="F26" s="542">
        <v>685000</v>
      </c>
      <c r="G26" s="204" t="s">
        <v>63</v>
      </c>
      <c r="H26" s="551" t="s">
        <v>414</v>
      </c>
    </row>
    <row r="27" spans="1:10" ht="15">
      <c r="A27" s="54"/>
      <c r="B27" s="80" t="s">
        <v>64</v>
      </c>
      <c r="C27" s="363">
        <v>0.05</v>
      </c>
      <c r="D27" s="254">
        <v>0.05</v>
      </c>
      <c r="E27" s="210">
        <v>0</v>
      </c>
      <c r="F27" s="210">
        <v>0.1</v>
      </c>
      <c r="G27" s="205"/>
      <c r="H27" s="277" t="s">
        <v>287</v>
      </c>
      <c r="I27" s="2"/>
      <c r="J27" s="2"/>
    </row>
    <row r="28" spans="1:10" ht="15.75" thickBot="1">
      <c r="A28" s="55"/>
      <c r="B28" s="85" t="s">
        <v>65</v>
      </c>
      <c r="C28" s="364">
        <v>30</v>
      </c>
      <c r="D28" s="255">
        <v>30</v>
      </c>
      <c r="E28" s="207">
        <v>20</v>
      </c>
      <c r="F28" s="207">
        <v>100</v>
      </c>
      <c r="G28" s="207" t="s">
        <v>66</v>
      </c>
      <c r="H28" s="278" t="s">
        <v>287</v>
      </c>
      <c r="I28" s="2"/>
      <c r="J28" s="2"/>
    </row>
    <row r="29" spans="1:10" ht="15">
      <c r="A29" s="646" t="s">
        <v>282</v>
      </c>
      <c r="B29" s="82" t="s">
        <v>283</v>
      </c>
      <c r="C29" s="365">
        <v>23000</v>
      </c>
      <c r="D29" s="314">
        <v>23000</v>
      </c>
      <c r="E29" s="387">
        <v>9700</v>
      </c>
      <c r="F29" s="387">
        <v>54600</v>
      </c>
      <c r="G29" s="206" t="s">
        <v>63</v>
      </c>
      <c r="H29" s="313" t="s">
        <v>340</v>
      </c>
      <c r="I29" s="2"/>
      <c r="J29" s="2"/>
    </row>
    <row r="30" spans="1:10" ht="15">
      <c r="A30" s="647"/>
      <c r="B30" s="82" t="s">
        <v>284</v>
      </c>
      <c r="C30" s="366">
        <v>105</v>
      </c>
      <c r="D30" s="319">
        <v>105</v>
      </c>
      <c r="E30" s="206">
        <v>80</v>
      </c>
      <c r="F30" s="206">
        <v>150</v>
      </c>
      <c r="G30" s="206" t="s">
        <v>306</v>
      </c>
      <c r="H30" s="385" t="s">
        <v>333</v>
      </c>
      <c r="I30" s="2"/>
      <c r="J30" s="2"/>
    </row>
    <row r="31" spans="1:8" ht="15.75" thickBot="1">
      <c r="A31" s="648"/>
      <c r="B31" s="315" t="s">
        <v>307</v>
      </c>
      <c r="C31" s="364">
        <v>2000</v>
      </c>
      <c r="D31" s="318">
        <v>2000</v>
      </c>
      <c r="E31" s="317">
        <v>1000</v>
      </c>
      <c r="F31" s="317">
        <v>3600</v>
      </c>
      <c r="G31" s="316" t="s">
        <v>308</v>
      </c>
      <c r="H31" s="278" t="s">
        <v>333</v>
      </c>
    </row>
    <row r="32" spans="1:8" ht="15">
      <c r="A32" s="244" t="s">
        <v>75</v>
      </c>
      <c r="B32" s="267" t="s">
        <v>102</v>
      </c>
      <c r="C32" s="367">
        <v>486</v>
      </c>
      <c r="D32" s="268">
        <v>486</v>
      </c>
      <c r="E32" s="483" t="s">
        <v>264</v>
      </c>
      <c r="F32" s="483" t="s">
        <v>264</v>
      </c>
      <c r="G32" s="269" t="s">
        <v>89</v>
      </c>
      <c r="H32" s="279" t="s">
        <v>295</v>
      </c>
    </row>
    <row r="33" spans="1:8" ht="45">
      <c r="A33" s="244"/>
      <c r="B33" s="82" t="s">
        <v>165</v>
      </c>
      <c r="C33" s="366">
        <v>1249</v>
      </c>
      <c r="D33" s="256">
        <v>1249</v>
      </c>
      <c r="E33" s="206">
        <v>70</v>
      </c>
      <c r="F33" s="206">
        <v>9736</v>
      </c>
      <c r="G33" s="206" t="s">
        <v>89</v>
      </c>
      <c r="H33" s="276" t="s">
        <v>341</v>
      </c>
    </row>
    <row r="34" spans="1:8" ht="45">
      <c r="A34" s="189"/>
      <c r="B34" s="80" t="s">
        <v>163</v>
      </c>
      <c r="C34" s="361">
        <v>498</v>
      </c>
      <c r="D34" s="253">
        <v>498</v>
      </c>
      <c r="E34" s="205">
        <v>12</v>
      </c>
      <c r="F34" s="205">
        <v>5750</v>
      </c>
      <c r="G34" s="205" t="s">
        <v>89</v>
      </c>
      <c r="H34" s="276" t="s">
        <v>341</v>
      </c>
    </row>
    <row r="35" spans="1:8" ht="15.75" thickBot="1">
      <c r="A35" s="190"/>
      <c r="B35" s="219" t="s">
        <v>285</v>
      </c>
      <c r="C35" s="368">
        <f>SUM(C32:C34)</f>
        <v>2233</v>
      </c>
      <c r="D35" s="257">
        <f>SUM(D32:D34)</f>
        <v>2233</v>
      </c>
      <c r="E35" s="223" t="s">
        <v>20</v>
      </c>
      <c r="F35" s="223" t="s">
        <v>20</v>
      </c>
      <c r="G35" s="207" t="s">
        <v>89</v>
      </c>
      <c r="H35" s="277" t="s">
        <v>286</v>
      </c>
    </row>
    <row r="36" spans="1:8" ht="15.75" thickBot="1">
      <c r="A36" s="56" t="s">
        <v>76</v>
      </c>
      <c r="B36" s="83" t="s">
        <v>164</v>
      </c>
      <c r="C36" s="369">
        <v>977</v>
      </c>
      <c r="D36" s="258">
        <v>977</v>
      </c>
      <c r="E36" s="208"/>
      <c r="F36" s="208"/>
      <c r="G36" s="208" t="s">
        <v>89</v>
      </c>
      <c r="H36" s="377" t="s">
        <v>296</v>
      </c>
    </row>
    <row r="37" spans="1:8" ht="15">
      <c r="A37" s="54" t="s">
        <v>101</v>
      </c>
      <c r="B37" s="84" t="s">
        <v>68</v>
      </c>
      <c r="C37" s="370">
        <v>2847</v>
      </c>
      <c r="D37" s="259">
        <v>2847</v>
      </c>
      <c r="E37" s="209"/>
      <c r="F37" s="209"/>
      <c r="G37" s="209" t="s">
        <v>69</v>
      </c>
      <c r="H37" s="274" t="s">
        <v>413</v>
      </c>
    </row>
    <row r="38" spans="1:8" ht="15">
      <c r="A38" s="54"/>
      <c r="B38" s="80" t="s">
        <v>46</v>
      </c>
      <c r="C38" s="363">
        <v>0.51</v>
      </c>
      <c r="D38" s="254">
        <v>0.51</v>
      </c>
      <c r="E38" s="210">
        <v>0.31</v>
      </c>
      <c r="F38" s="210">
        <v>0.71</v>
      </c>
      <c r="G38" s="205" t="s">
        <v>250</v>
      </c>
      <c r="H38" s="274" t="s">
        <v>294</v>
      </c>
    </row>
    <row r="39" spans="1:8" ht="15.75" thickBot="1">
      <c r="A39" s="55"/>
      <c r="B39" s="85" t="s">
        <v>47</v>
      </c>
      <c r="C39" s="371">
        <v>0.49</v>
      </c>
      <c r="D39" s="260">
        <v>0.49</v>
      </c>
      <c r="E39" s="211">
        <v>0.29</v>
      </c>
      <c r="F39" s="211">
        <v>0.69</v>
      </c>
      <c r="G39" s="207" t="s">
        <v>250</v>
      </c>
      <c r="H39" s="285" t="s">
        <v>294</v>
      </c>
    </row>
    <row r="40" spans="1:8" ht="30.75" thickBot="1">
      <c r="A40" s="56" t="s">
        <v>61</v>
      </c>
      <c r="B40" s="250"/>
      <c r="C40" s="369">
        <v>74.1</v>
      </c>
      <c r="D40" s="258">
        <v>74.1</v>
      </c>
      <c r="E40" s="59">
        <v>45</v>
      </c>
      <c r="F40" s="59">
        <v>92</v>
      </c>
      <c r="G40" s="208"/>
      <c r="H40" s="379" t="s">
        <v>329</v>
      </c>
    </row>
    <row r="41" spans="1:8" ht="15">
      <c r="A41" s="2"/>
      <c r="B41" s="46"/>
      <c r="C41" s="249"/>
      <c r="D41" s="249"/>
      <c r="E41" s="249"/>
      <c r="F41" s="249"/>
      <c r="G41" s="41"/>
      <c r="H41" s="199"/>
    </row>
    <row r="42" spans="1:5" ht="15">
      <c r="A42" s="2"/>
      <c r="B42" s="46"/>
      <c r="C42" s="41"/>
      <c r="D42" s="41"/>
      <c r="E42" s="41"/>
    </row>
    <row r="43" spans="1:4" ht="14.25" customHeight="1">
      <c r="A43" s="639" t="s">
        <v>357</v>
      </c>
      <c r="B43" s="639"/>
      <c r="C43" s="639"/>
      <c r="D43" s="41"/>
    </row>
    <row r="44" spans="1:4" ht="15">
      <c r="A44" s="639"/>
      <c r="B44" s="639"/>
      <c r="C44" s="639"/>
      <c r="D44" s="41"/>
    </row>
    <row r="45" spans="1:4" ht="15">
      <c r="A45" s="639"/>
      <c r="B45" s="639"/>
      <c r="C45" s="639"/>
      <c r="D45" s="41"/>
    </row>
    <row r="46" spans="1:3" ht="15">
      <c r="A46" s="639"/>
      <c r="B46" s="639"/>
      <c r="C46" s="639"/>
    </row>
    <row r="47" spans="1:3" ht="15">
      <c r="A47" s="639"/>
      <c r="B47" s="639"/>
      <c r="C47" s="639"/>
    </row>
    <row r="48" ht="15.75" thickBot="1"/>
    <row r="49" spans="1:5" ht="63.75" thickBot="1">
      <c r="A49" s="618" t="s">
        <v>305</v>
      </c>
      <c r="B49" s="619"/>
      <c r="C49" s="619"/>
      <c r="D49" s="620"/>
      <c r="E49" s="273" t="s">
        <v>291</v>
      </c>
    </row>
    <row r="50" spans="1:6" ht="15">
      <c r="A50" s="616" t="s">
        <v>94</v>
      </c>
      <c r="B50" s="617"/>
      <c r="C50" s="330">
        <f>605*10^3/C26</f>
        <v>2.5527426160337554</v>
      </c>
      <c r="D50" s="66" t="s">
        <v>74</v>
      </c>
      <c r="E50" s="265" t="s">
        <v>290</v>
      </c>
      <c r="F50" s="2"/>
    </row>
    <row r="51" spans="1:6" ht="15">
      <c r="A51" s="247" t="s">
        <v>288</v>
      </c>
      <c r="B51" s="248"/>
      <c r="C51" s="330">
        <v>0.66</v>
      </c>
      <c r="D51" s="66" t="s">
        <v>74</v>
      </c>
      <c r="E51" s="283" t="s">
        <v>290</v>
      </c>
      <c r="F51" s="2"/>
    </row>
    <row r="52" spans="1:5" ht="15">
      <c r="A52" s="247" t="s">
        <v>289</v>
      </c>
      <c r="B52" s="248"/>
      <c r="C52" s="330">
        <v>0.7</v>
      </c>
      <c r="D52" s="66" t="s">
        <v>74</v>
      </c>
      <c r="E52" s="283" t="s">
        <v>290</v>
      </c>
    </row>
    <row r="53" spans="1:5" ht="15">
      <c r="A53" s="588" t="s">
        <v>368</v>
      </c>
      <c r="B53" s="589"/>
      <c r="C53" s="482">
        <v>0.12</v>
      </c>
      <c r="D53" s="66" t="s">
        <v>383</v>
      </c>
      <c r="E53" s="283" t="s">
        <v>378</v>
      </c>
    </row>
    <row r="54" spans="1:5" ht="15">
      <c r="A54" s="611" t="s">
        <v>166</v>
      </c>
      <c r="B54" s="612"/>
      <c r="C54" s="481">
        <f>((1329/1000)*0.45)/C53</f>
        <v>4.98375</v>
      </c>
      <c r="D54" s="62" t="s">
        <v>74</v>
      </c>
      <c r="E54" s="283" t="s">
        <v>386</v>
      </c>
    </row>
    <row r="55" spans="1:5" ht="15">
      <c r="A55" s="358" t="s">
        <v>367</v>
      </c>
      <c r="B55" s="359"/>
      <c r="C55" s="331">
        <v>12.19</v>
      </c>
      <c r="D55" s="62" t="s">
        <v>369</v>
      </c>
      <c r="E55" s="549" t="s">
        <v>379</v>
      </c>
    </row>
    <row r="56" spans="1:5" ht="30">
      <c r="A56" s="611" t="s">
        <v>167</v>
      </c>
      <c r="B56" s="612"/>
      <c r="C56" s="332">
        <f>(137.7*1030*0.45*1000)/(1000000*C55)</f>
        <v>5.23576292042658</v>
      </c>
      <c r="D56" s="62" t="s">
        <v>74</v>
      </c>
      <c r="E56" s="550" t="s">
        <v>374</v>
      </c>
    </row>
    <row r="57" spans="1:5" ht="15">
      <c r="A57" s="611" t="s">
        <v>168</v>
      </c>
      <c r="B57" s="612"/>
      <c r="C57" s="331">
        <v>1.78</v>
      </c>
      <c r="D57" s="62" t="s">
        <v>74</v>
      </c>
      <c r="E57" s="283" t="s">
        <v>290</v>
      </c>
    </row>
    <row r="58" spans="1:5" ht="15">
      <c r="A58" s="611" t="s">
        <v>169</v>
      </c>
      <c r="B58" s="612"/>
      <c r="C58" s="331">
        <v>0.7</v>
      </c>
      <c r="D58" s="62" t="s">
        <v>74</v>
      </c>
      <c r="E58" s="283" t="s">
        <v>290</v>
      </c>
    </row>
    <row r="59" spans="1:5" ht="15">
      <c r="A59" s="609" t="s">
        <v>96</v>
      </c>
      <c r="B59" s="610"/>
      <c r="C59" s="332">
        <f>0.337*1000/C86</f>
        <v>1.8797737016952192</v>
      </c>
      <c r="D59" s="62" t="s">
        <v>74</v>
      </c>
      <c r="E59" s="283" t="s">
        <v>290</v>
      </c>
    </row>
    <row r="60" spans="1:9" ht="15">
      <c r="A60" s="625" t="s">
        <v>124</v>
      </c>
      <c r="B60" s="626"/>
      <c r="C60" s="333">
        <v>3.7</v>
      </c>
      <c r="D60" s="63" t="s">
        <v>125</v>
      </c>
      <c r="E60" s="266" t="s">
        <v>325</v>
      </c>
      <c r="F60" s="544"/>
      <c r="G60" s="545"/>
      <c r="H60" s="546"/>
      <c r="I60" s="547"/>
    </row>
    <row r="61" spans="1:5" ht="45">
      <c r="A61" s="625" t="s">
        <v>53</v>
      </c>
      <c r="B61" s="626"/>
      <c r="C61" s="333">
        <v>121.3</v>
      </c>
      <c r="D61" s="63" t="s">
        <v>54</v>
      </c>
      <c r="E61" s="280" t="s">
        <v>293</v>
      </c>
    </row>
    <row r="62" spans="1:5" ht="15">
      <c r="A62" s="625" t="s">
        <v>50</v>
      </c>
      <c r="B62" s="626"/>
      <c r="C62" s="332">
        <f>3.26/1.61</f>
        <v>2.024844720496894</v>
      </c>
      <c r="D62" s="63" t="s">
        <v>52</v>
      </c>
      <c r="E62" s="266" t="s">
        <v>292</v>
      </c>
    </row>
    <row r="63" spans="1:5" ht="15">
      <c r="A63" s="625" t="s">
        <v>51</v>
      </c>
      <c r="B63" s="626"/>
      <c r="C63" s="332">
        <f>3.39/1.61</f>
        <v>2.1055900621118013</v>
      </c>
      <c r="D63" s="63" t="s">
        <v>52</v>
      </c>
      <c r="E63" s="266" t="s">
        <v>292</v>
      </c>
    </row>
    <row r="64" spans="1:5" ht="15">
      <c r="A64" s="609" t="s">
        <v>48</v>
      </c>
      <c r="B64" s="610"/>
      <c r="C64" s="334">
        <v>97</v>
      </c>
      <c r="D64" s="64" t="s">
        <v>127</v>
      </c>
      <c r="E64" s="266" t="s">
        <v>294</v>
      </c>
    </row>
    <row r="65" spans="1:5" ht="15">
      <c r="A65" s="609" t="s">
        <v>49</v>
      </c>
      <c r="B65" s="610"/>
      <c r="C65" s="334">
        <v>56</v>
      </c>
      <c r="D65" s="64" t="s">
        <v>127</v>
      </c>
      <c r="E65" s="266" t="s">
        <v>294</v>
      </c>
    </row>
    <row r="66" spans="1:6" ht="30">
      <c r="A66" s="609" t="s">
        <v>225</v>
      </c>
      <c r="B66" s="610"/>
      <c r="C66" s="332">
        <v>0.04</v>
      </c>
      <c r="D66" s="64" t="s">
        <v>80</v>
      </c>
      <c r="E66" s="280" t="s">
        <v>416</v>
      </c>
      <c r="F66" s="297"/>
    </row>
    <row r="67" spans="1:5" ht="30.75" thickBot="1">
      <c r="A67" s="607" t="s">
        <v>95</v>
      </c>
      <c r="B67" s="608"/>
      <c r="C67" s="335">
        <v>16.5</v>
      </c>
      <c r="D67" s="65" t="s">
        <v>126</v>
      </c>
      <c r="E67" s="553" t="s">
        <v>415</v>
      </c>
    </row>
    <row r="68" s="2" customFormat="1" ht="15"/>
    <row r="69" spans="1:3" s="2" customFormat="1" ht="14.25" customHeight="1">
      <c r="A69" s="643" t="s">
        <v>304</v>
      </c>
      <c r="B69" s="643"/>
      <c r="C69" s="643"/>
    </row>
    <row r="70" spans="1:3" s="2" customFormat="1" ht="15">
      <c r="A70" s="643"/>
      <c r="B70" s="643"/>
      <c r="C70" s="643"/>
    </row>
    <row r="71" spans="1:3" s="2" customFormat="1" ht="15">
      <c r="A71" s="643"/>
      <c r="B71" s="643"/>
      <c r="C71" s="643"/>
    </row>
    <row r="72" spans="1:3" ht="15">
      <c r="A72" s="643"/>
      <c r="B72" s="643"/>
      <c r="C72" s="643"/>
    </row>
    <row r="73" spans="2:6" ht="15.75" thickBot="1">
      <c r="B73" s="67"/>
      <c r="C73" s="44"/>
      <c r="D73" s="44"/>
      <c r="E73" s="43"/>
      <c r="F73" s="2"/>
    </row>
    <row r="74" spans="1:7" ht="21.75" thickBot="1">
      <c r="A74" s="575" t="s">
        <v>299</v>
      </c>
      <c r="B74" s="576"/>
      <c r="C74" s="576"/>
      <c r="D74" s="577"/>
      <c r="E74" s="605" t="s">
        <v>27</v>
      </c>
      <c r="F74" s="606"/>
      <c r="G74" s="199"/>
    </row>
    <row r="75" spans="1:7" ht="15">
      <c r="A75" s="582" t="s">
        <v>26</v>
      </c>
      <c r="B75" s="583"/>
      <c r="C75" s="19" t="s">
        <v>70</v>
      </c>
      <c r="D75" s="16" t="s">
        <v>71</v>
      </c>
      <c r="E75" s="19" t="s">
        <v>70</v>
      </c>
      <c r="F75" s="17" t="s">
        <v>71</v>
      </c>
      <c r="G75" s="200"/>
    </row>
    <row r="76" spans="1:7" ht="15.75" thickBot="1">
      <c r="A76" s="584"/>
      <c r="B76" s="585"/>
      <c r="C76" s="74" t="s">
        <v>67</v>
      </c>
      <c r="D76" s="73" t="s">
        <v>72</v>
      </c>
      <c r="E76" s="74" t="s">
        <v>67</v>
      </c>
      <c r="F76" s="75" t="s">
        <v>72</v>
      </c>
      <c r="G76" s="200"/>
    </row>
    <row r="77" spans="1:6" ht="15">
      <c r="A77" s="586" t="s">
        <v>73</v>
      </c>
      <c r="B77" s="587"/>
      <c r="C77" s="372">
        <f>-PMT(C27,C28,C26/C24/C25)</f>
        <v>691.7969922960183</v>
      </c>
      <c r="D77" s="373">
        <f>C50*C77</f>
        <v>1765.9796638780215</v>
      </c>
      <c r="E77" s="76">
        <f>-PMT(D27,D28,D26/D24/D25)</f>
        <v>535.3191011814428</v>
      </c>
      <c r="F77" s="77">
        <f>+E77*C50</f>
        <v>1366.5318827627548</v>
      </c>
    </row>
    <row r="78" spans="1:6" ht="15">
      <c r="A78" s="245" t="s">
        <v>282</v>
      </c>
      <c r="B78" s="246"/>
      <c r="C78" s="372"/>
      <c r="D78" s="373"/>
      <c r="E78" s="76"/>
      <c r="F78" s="77"/>
    </row>
    <row r="79" spans="1:6" ht="15">
      <c r="A79" s="245"/>
      <c r="B79" s="272" t="s">
        <v>283</v>
      </c>
      <c r="C79" s="372">
        <f>-PMT(C27,C28,C29/C24/C25)</f>
        <v>67.13641697387519</v>
      </c>
      <c r="D79" s="373">
        <f>+C51*C79</f>
        <v>44.310035202757625</v>
      </c>
      <c r="E79" s="76">
        <f>-PMT(D27,D28,D29/D24/D25)</f>
        <v>51.950798848831994</v>
      </c>
      <c r="F79" s="77">
        <f>+C51*E79</f>
        <v>34.28752724022912</v>
      </c>
    </row>
    <row r="80" spans="1:6" ht="15">
      <c r="A80" s="245"/>
      <c r="B80" s="272" t="s">
        <v>284</v>
      </c>
      <c r="C80" s="372">
        <f>-PMT(C27,C28,((C30*C31)/C25))</f>
        <v>5692.000569524201</v>
      </c>
      <c r="D80" s="373">
        <f>+C52*C80</f>
        <v>3984.4003986669404</v>
      </c>
      <c r="E80" s="76">
        <f>-PMT(D27,D28,D30*D31/D25)</f>
        <v>5692.000569524201</v>
      </c>
      <c r="F80" s="77">
        <f>+C52*E80</f>
        <v>3984.4003986669404</v>
      </c>
    </row>
    <row r="81" spans="1:6" ht="15">
      <c r="A81" s="580" t="s">
        <v>75</v>
      </c>
      <c r="B81" s="581"/>
      <c r="C81" s="374">
        <f>C35/C25</f>
        <v>930.4166666666667</v>
      </c>
      <c r="D81" s="375">
        <f>SUM(D82:D84)</f>
        <v>4040.4973684885153</v>
      </c>
      <c r="E81" s="20">
        <f>SUM(E82:E84)</f>
        <v>930.4166666666667</v>
      </c>
      <c r="F81" s="61">
        <f>SUM(F82:F84)</f>
        <v>4040.4973684885153</v>
      </c>
    </row>
    <row r="82" spans="1:6" ht="15">
      <c r="A82" s="578" t="s">
        <v>88</v>
      </c>
      <c r="B82" s="579"/>
      <c r="C82" s="374">
        <f>C33/C25</f>
        <v>520.4166666666667</v>
      </c>
      <c r="D82" s="376">
        <f>C82*C54</f>
        <v>2593.6265625</v>
      </c>
      <c r="E82" s="20">
        <f>+D33/D25</f>
        <v>520.4166666666667</v>
      </c>
      <c r="F82" s="61">
        <f>+E82*C54</f>
        <v>2593.6265625</v>
      </c>
    </row>
    <row r="83" spans="1:6" ht="15">
      <c r="A83" s="578" t="s">
        <v>103</v>
      </c>
      <c r="B83" s="579"/>
      <c r="C83" s="374">
        <f>C34/C25</f>
        <v>207.5</v>
      </c>
      <c r="D83" s="376">
        <f>C83*C56</f>
        <v>1086.4208059885152</v>
      </c>
      <c r="E83" s="20">
        <f>+D34/D25</f>
        <v>207.5</v>
      </c>
      <c r="F83" s="61">
        <f>+E83*C56</f>
        <v>1086.4208059885152</v>
      </c>
    </row>
    <row r="84" spans="1:6" ht="15">
      <c r="A84" s="578" t="s">
        <v>90</v>
      </c>
      <c r="B84" s="579"/>
      <c r="C84" s="374">
        <f>C32/C25</f>
        <v>202.5</v>
      </c>
      <c r="D84" s="376">
        <f>C84*C57</f>
        <v>360.45</v>
      </c>
      <c r="E84" s="20">
        <f>+D32/D25</f>
        <v>202.5</v>
      </c>
      <c r="F84" s="61">
        <f>+E84*C57</f>
        <v>360.45</v>
      </c>
    </row>
    <row r="85" spans="1:6" ht="15">
      <c r="A85" s="580" t="s">
        <v>76</v>
      </c>
      <c r="B85" s="581"/>
      <c r="C85" s="374">
        <f>C36/C25</f>
        <v>407.08333333333337</v>
      </c>
      <c r="D85" s="376">
        <f>C58*C85</f>
        <v>284.9583333333333</v>
      </c>
      <c r="E85" s="20">
        <f>+D36/D25</f>
        <v>407.08333333333337</v>
      </c>
      <c r="F85" s="61">
        <f>+C58*E85</f>
        <v>284.9583333333333</v>
      </c>
    </row>
    <row r="86" spans="1:6" ht="15">
      <c r="A86" s="580" t="s">
        <v>28</v>
      </c>
      <c r="B86" s="581"/>
      <c r="C86" s="374">
        <f>C37*(C38*C62+C39*C63)*C60/C61</f>
        <v>179.2768989671929</v>
      </c>
      <c r="D86" s="375">
        <f>+C86*C59</f>
        <v>337</v>
      </c>
      <c r="E86" s="20">
        <f>+D37*(D38*C62+D39*C63)*C60/C61</f>
        <v>179.2768989671929</v>
      </c>
      <c r="F86" s="22">
        <f>+E86*C59</f>
        <v>337</v>
      </c>
    </row>
    <row r="87" spans="1:6" ht="15">
      <c r="A87" s="604" t="s">
        <v>249</v>
      </c>
      <c r="B87" s="581"/>
      <c r="C87" s="374">
        <f>C37*C66</f>
        <v>113.88</v>
      </c>
      <c r="D87" s="520" t="s">
        <v>264</v>
      </c>
      <c r="E87" s="311">
        <f>+D37*C66</f>
        <v>113.88</v>
      </c>
      <c r="F87" s="270" t="s">
        <v>264</v>
      </c>
    </row>
    <row r="88" spans="1:6" ht="15.75" thickBot="1">
      <c r="A88" s="634" t="s">
        <v>77</v>
      </c>
      <c r="B88" s="635"/>
      <c r="C88" s="257">
        <f>(C37*C38/C64+C37*C39/C65)*C67</f>
        <v>658.020212628866</v>
      </c>
      <c r="D88" s="521" t="s">
        <v>264</v>
      </c>
      <c r="E88" s="312">
        <f>+(D37*D38/C64+D37*D39/C65)*C67</f>
        <v>658.020212628866</v>
      </c>
      <c r="F88" s="271" t="s">
        <v>264</v>
      </c>
    </row>
    <row r="89" spans="1:6" ht="15.75" thickBot="1">
      <c r="A89" s="602" t="s">
        <v>78</v>
      </c>
      <c r="B89" s="603"/>
      <c r="C89" s="406">
        <f>SUM(C77:C81,C85:C88)</f>
        <v>8739.611090390154</v>
      </c>
      <c r="D89" s="407">
        <f>SUM(D77:D81,D85:D88)</f>
        <v>10457.14579956957</v>
      </c>
      <c r="E89" s="407">
        <f>SUM(E77:E81,E85:E88)</f>
        <v>8567.947581150534</v>
      </c>
      <c r="F89" s="408">
        <f>SUM(F77:F81,F85:F88)</f>
        <v>10047.675510491774</v>
      </c>
    </row>
    <row r="90" spans="1:6" ht="15">
      <c r="A90" s="512"/>
      <c r="B90" s="514"/>
      <c r="C90" s="533"/>
      <c r="D90" s="533"/>
      <c r="E90" s="533"/>
      <c r="F90" s="533"/>
    </row>
    <row r="91" spans="1:6" ht="16.5" thickBot="1">
      <c r="A91" s="515" t="s">
        <v>393</v>
      </c>
      <c r="B91" s="514"/>
      <c r="C91" s="70"/>
      <c r="D91" s="70"/>
      <c r="E91" s="70"/>
      <c r="F91" s="70"/>
    </row>
    <row r="92" spans="1:6" ht="30">
      <c r="A92" s="651"/>
      <c r="B92" s="654">
        <f>D89</f>
        <v>10457.14579956957</v>
      </c>
      <c r="C92" s="636" t="str">
        <f>D76</f>
        <v>kgCO2e/person/year</v>
      </c>
      <c r="D92" s="640" t="s">
        <v>344</v>
      </c>
      <c r="E92" s="391">
        <v>9</v>
      </c>
      <c r="F92" s="403" t="s">
        <v>348</v>
      </c>
    </row>
    <row r="93" spans="1:6" ht="15">
      <c r="A93" s="652"/>
      <c r="B93" s="655"/>
      <c r="C93" s="637"/>
      <c r="D93" s="641"/>
      <c r="E93" s="400">
        <f>+D89/E92</f>
        <v>1161.9050888410632</v>
      </c>
      <c r="F93" s="404" t="s">
        <v>309</v>
      </c>
    </row>
    <row r="94" spans="1:6" ht="45.75" thickBot="1">
      <c r="A94" s="653"/>
      <c r="B94" s="656"/>
      <c r="C94" s="638"/>
      <c r="D94" s="642"/>
      <c r="E94" s="399">
        <f>+E93*33.4</f>
        <v>38807.629967291505</v>
      </c>
      <c r="F94" s="405" t="s">
        <v>353</v>
      </c>
    </row>
    <row r="95" spans="1:2" ht="14.25" customHeight="1">
      <c r="A95" s="644"/>
      <c r="B95" s="410"/>
    </row>
    <row r="96" spans="1:3" ht="14.25" customHeight="1">
      <c r="A96" s="644"/>
      <c r="B96" s="5"/>
      <c r="C96" s="5"/>
    </row>
    <row r="97" spans="1:2" ht="14.25" customHeight="1">
      <c r="A97" s="644"/>
      <c r="B97"/>
    </row>
    <row r="98" ht="15">
      <c r="B98"/>
    </row>
    <row r="99" ht="15">
      <c r="B99"/>
    </row>
    <row r="100" ht="15">
      <c r="B100"/>
    </row>
    <row r="101" ht="15">
      <c r="B101"/>
    </row>
    <row r="102" ht="15">
      <c r="B102"/>
    </row>
  </sheetData>
  <sheetProtection/>
  <mergeCells count="52">
    <mergeCell ref="A95:A97"/>
    <mergeCell ref="A2:C9"/>
    <mergeCell ref="A29:A31"/>
    <mergeCell ref="A21:A25"/>
    <mergeCell ref="A14:B14"/>
    <mergeCell ref="A81:B81"/>
    <mergeCell ref="A82:B82"/>
    <mergeCell ref="A92:A94"/>
    <mergeCell ref="B92:B94"/>
    <mergeCell ref="C92:C94"/>
    <mergeCell ref="A43:C47"/>
    <mergeCell ref="A62:B62"/>
    <mergeCell ref="A57:B57"/>
    <mergeCell ref="A58:B58"/>
    <mergeCell ref="D92:D94"/>
    <mergeCell ref="A69:C72"/>
    <mergeCell ref="D19:G19"/>
    <mergeCell ref="A59:B59"/>
    <mergeCell ref="A60:B60"/>
    <mergeCell ref="A61:B61"/>
    <mergeCell ref="A64:B64"/>
    <mergeCell ref="A88:B88"/>
    <mergeCell ref="C11:F11"/>
    <mergeCell ref="A50:B50"/>
    <mergeCell ref="A65:B65"/>
    <mergeCell ref="A54:B54"/>
    <mergeCell ref="A49:D49"/>
    <mergeCell ref="A11:B11"/>
    <mergeCell ref="C13:F13"/>
    <mergeCell ref="A63:B63"/>
    <mergeCell ref="C14:F14"/>
    <mergeCell ref="A15:B15"/>
    <mergeCell ref="C15:F15"/>
    <mergeCell ref="A20:B20"/>
    <mergeCell ref="A12:B12"/>
    <mergeCell ref="A13:B13"/>
    <mergeCell ref="A89:B89"/>
    <mergeCell ref="A87:B87"/>
    <mergeCell ref="E74:F74"/>
    <mergeCell ref="A67:B67"/>
    <mergeCell ref="A66:B66"/>
    <mergeCell ref="A56:B56"/>
    <mergeCell ref="A1:B1"/>
    <mergeCell ref="A74:D74"/>
    <mergeCell ref="A83:B83"/>
    <mergeCell ref="A84:B84"/>
    <mergeCell ref="A85:B85"/>
    <mergeCell ref="A86:B86"/>
    <mergeCell ref="A75:B76"/>
    <mergeCell ref="A77:B77"/>
    <mergeCell ref="A53:B53"/>
    <mergeCell ref="C12:F12"/>
  </mergeCells>
  <printOptions/>
  <pageMargins left="0.7" right="0.7" top="0.75" bottom="0.75" header="0.3" footer="0.3"/>
  <pageSetup fitToHeight="1" fitToWidth="1" horizontalDpi="600" verticalDpi="600" orientation="landscape" scale="36" r:id="rId1"/>
</worksheet>
</file>

<file path=xl/worksheets/sheet3.xml><?xml version="1.0" encoding="utf-8"?>
<worksheet xmlns="http://schemas.openxmlformats.org/spreadsheetml/2006/main" xmlns:r="http://schemas.openxmlformats.org/officeDocument/2006/relationships">
  <sheetPr>
    <pageSetUpPr fitToPage="1"/>
  </sheetPr>
  <dimension ref="A1:J97"/>
  <sheetViews>
    <sheetView zoomScale="85" zoomScaleNormal="85" zoomScalePageLayoutView="0" workbookViewId="0" topLeftCell="A18">
      <selection activeCell="C25" sqref="C25"/>
    </sheetView>
  </sheetViews>
  <sheetFormatPr defaultColWidth="8.7109375" defaultRowHeight="15"/>
  <cols>
    <col min="1" max="1" width="14.28125" style="0" bestFit="1" customWidth="1"/>
    <col min="2" max="2" width="49.421875" style="7" bestFit="1" customWidth="1"/>
    <col min="3" max="3" width="15.140625" style="0" bestFit="1" customWidth="1"/>
    <col min="4" max="4" width="19.7109375" style="0" customWidth="1"/>
    <col min="5" max="5" width="31.57421875" style="0" customWidth="1"/>
    <col min="6" max="6" width="41.7109375" style="0" customWidth="1"/>
    <col min="7" max="7" width="21.28125" style="0" bestFit="1" customWidth="1"/>
    <col min="8" max="8" width="51.7109375" style="0" customWidth="1"/>
  </cols>
  <sheetData>
    <row r="1" ht="15">
      <c r="A1" s="199"/>
    </row>
    <row r="2" spans="1:2" ht="26.25">
      <c r="A2" s="561" t="s">
        <v>44</v>
      </c>
      <c r="B2" s="561"/>
    </row>
    <row r="3" spans="1:3" ht="14.25" customHeight="1">
      <c r="A3" s="683" t="s">
        <v>396</v>
      </c>
      <c r="B3" s="683"/>
      <c r="C3" s="683"/>
    </row>
    <row r="4" spans="1:3" ht="25.5" customHeight="1">
      <c r="A4" s="683"/>
      <c r="B4" s="683"/>
      <c r="C4" s="683"/>
    </row>
    <row r="5" spans="1:3" ht="25.5" customHeight="1">
      <c r="A5" s="683"/>
      <c r="B5" s="683"/>
      <c r="C5" s="683"/>
    </row>
    <row r="6" spans="1:3" ht="25.5" customHeight="1">
      <c r="A6" s="683"/>
      <c r="B6" s="683"/>
      <c r="C6" s="683"/>
    </row>
    <row r="7" spans="1:3" ht="25.5" customHeight="1">
      <c r="A7" s="683"/>
      <c r="B7" s="683"/>
      <c r="C7" s="683"/>
    </row>
    <row r="8" spans="1:3" ht="25.5" customHeight="1">
      <c r="A8" s="683"/>
      <c r="B8" s="683"/>
      <c r="C8" s="683"/>
    </row>
    <row r="9" spans="1:3" ht="25.5" customHeight="1">
      <c r="A9" s="683"/>
      <c r="B9" s="683"/>
      <c r="C9" s="683"/>
    </row>
    <row r="10" spans="1:3" ht="25.5" customHeight="1">
      <c r="A10" s="683"/>
      <c r="B10" s="683"/>
      <c r="C10" s="683"/>
    </row>
    <row r="11" spans="1:3" ht="25.5" customHeight="1">
      <c r="A11" s="683"/>
      <c r="B11" s="683"/>
      <c r="C11" s="683"/>
    </row>
    <row r="12" spans="1:3" ht="25.5" customHeight="1">
      <c r="A12" s="683"/>
      <c r="B12" s="683"/>
      <c r="C12" s="683"/>
    </row>
    <row r="13" ht="15.75" thickBot="1"/>
    <row r="14" spans="1:6" ht="21.75" thickBot="1">
      <c r="A14" s="621" t="s">
        <v>142</v>
      </c>
      <c r="B14" s="621"/>
      <c r="C14" s="613"/>
      <c r="D14" s="614"/>
      <c r="E14" s="614"/>
      <c r="F14" s="615"/>
    </row>
    <row r="15" spans="1:6" s="1" customFormat="1" ht="15">
      <c r="A15" s="598" t="s">
        <v>129</v>
      </c>
      <c r="B15" s="599"/>
      <c r="C15" s="674"/>
      <c r="D15" s="675"/>
      <c r="E15" s="675"/>
      <c r="F15" s="676"/>
    </row>
    <row r="16" spans="1:6" s="1" customFormat="1" ht="15">
      <c r="A16" s="600" t="s">
        <v>130</v>
      </c>
      <c r="B16" s="601"/>
      <c r="C16" s="663"/>
      <c r="D16" s="664"/>
      <c r="E16" s="664"/>
      <c r="F16" s="665"/>
    </row>
    <row r="17" spans="1:7" ht="15">
      <c r="A17" s="661" t="s">
        <v>298</v>
      </c>
      <c r="B17" s="662"/>
      <c r="C17" s="663"/>
      <c r="D17" s="664"/>
      <c r="E17" s="664"/>
      <c r="F17" s="665"/>
      <c r="G17" s="216"/>
    </row>
    <row r="18" spans="1:6" ht="15.75" thickBot="1">
      <c r="A18" s="630" t="s">
        <v>131</v>
      </c>
      <c r="B18" s="631"/>
      <c r="C18" s="666"/>
      <c r="D18" s="667"/>
      <c r="E18" s="667"/>
      <c r="F18" s="668"/>
    </row>
    <row r="19" spans="1:6" s="4" customFormat="1" ht="15">
      <c r="A19" s="68"/>
      <c r="B19" s="68"/>
      <c r="C19" s="18"/>
      <c r="D19" s="18"/>
      <c r="E19" s="18"/>
      <c r="F19" s="18"/>
    </row>
    <row r="20" spans="2:8" ht="15.75" thickBot="1">
      <c r="B20" s="9"/>
      <c r="C20" s="9"/>
      <c r="D20" s="9"/>
      <c r="E20" s="8"/>
      <c r="F20" s="8"/>
      <c r="G20" s="8"/>
      <c r="H20" s="8"/>
    </row>
    <row r="21" spans="1:8" ht="21.75" thickBot="1">
      <c r="A21" s="281" t="s">
        <v>141</v>
      </c>
      <c r="B21" s="282"/>
      <c r="C21" s="263" t="s">
        <v>278</v>
      </c>
      <c r="D21" s="605" t="s">
        <v>277</v>
      </c>
      <c r="E21" s="692"/>
      <c r="F21" s="692"/>
      <c r="G21" s="633"/>
      <c r="H21" s="284" t="s">
        <v>291</v>
      </c>
    </row>
    <row r="22" spans="1:10" ht="39.75" customHeight="1" thickBot="1">
      <c r="A22" s="672" t="s">
        <v>255</v>
      </c>
      <c r="B22" s="673"/>
      <c r="C22" s="86" t="s">
        <v>24</v>
      </c>
      <c r="D22" s="351" t="s">
        <v>140</v>
      </c>
      <c r="E22" s="213" t="s">
        <v>201</v>
      </c>
      <c r="F22" s="212" t="s">
        <v>105</v>
      </c>
      <c r="G22" s="87" t="s">
        <v>25</v>
      </c>
      <c r="H22" s="196"/>
      <c r="I22" s="1"/>
      <c r="J22" s="1"/>
    </row>
    <row r="23" spans="1:8" ht="75">
      <c r="A23" s="53" t="s">
        <v>98</v>
      </c>
      <c r="B23" s="79" t="s">
        <v>55</v>
      </c>
      <c r="C23" s="522">
        <v>420</v>
      </c>
      <c r="D23" s="14">
        <v>420</v>
      </c>
      <c r="E23" s="209">
        <v>18</v>
      </c>
      <c r="F23" s="204">
        <v>1300</v>
      </c>
      <c r="G23" s="15" t="s">
        <v>56</v>
      </c>
      <c r="H23" s="275" t="s">
        <v>410</v>
      </c>
    </row>
    <row r="24" spans="1:8" ht="105">
      <c r="A24" s="54"/>
      <c r="B24" s="80" t="s">
        <v>57</v>
      </c>
      <c r="C24" s="523">
        <v>33.8</v>
      </c>
      <c r="D24" s="10">
        <v>38.3</v>
      </c>
      <c r="E24" s="214">
        <v>14</v>
      </c>
      <c r="F24" s="205">
        <v>61</v>
      </c>
      <c r="G24" s="11" t="s">
        <v>58</v>
      </c>
      <c r="H24" s="276" t="s">
        <v>417</v>
      </c>
    </row>
    <row r="25" spans="1:8" ht="75">
      <c r="A25" s="54"/>
      <c r="B25" s="81" t="s">
        <v>297</v>
      </c>
      <c r="C25" s="523">
        <v>1386</v>
      </c>
      <c r="D25" s="10">
        <f>D23*D26</f>
        <v>1386</v>
      </c>
      <c r="E25" s="205">
        <v>99</v>
      </c>
      <c r="F25" s="205">
        <v>2097</v>
      </c>
      <c r="G25" s="11"/>
      <c r="H25" s="276" t="s">
        <v>411</v>
      </c>
    </row>
    <row r="26" spans="1:10" s="2" customFormat="1" ht="15">
      <c r="A26" s="54"/>
      <c r="B26" s="81" t="s">
        <v>275</v>
      </c>
      <c r="C26" s="524">
        <f>C25/C23</f>
        <v>3.3</v>
      </c>
      <c r="D26" s="10">
        <v>3.3</v>
      </c>
      <c r="E26" s="205">
        <v>0.6</v>
      </c>
      <c r="F26" s="205">
        <v>11</v>
      </c>
      <c r="G26" s="11" t="s">
        <v>59</v>
      </c>
      <c r="H26" s="277" t="s">
        <v>286</v>
      </c>
      <c r="I26"/>
      <c r="J26"/>
    </row>
    <row r="27" spans="1:8" ht="45.75" thickBot="1">
      <c r="A27" s="54"/>
      <c r="B27" s="325" t="s">
        <v>265</v>
      </c>
      <c r="C27" s="525">
        <v>2.6</v>
      </c>
      <c r="D27" s="326">
        <v>2.6</v>
      </c>
      <c r="E27" s="540" t="s">
        <v>264</v>
      </c>
      <c r="F27" s="541" t="s">
        <v>264</v>
      </c>
      <c r="G27" s="327" t="s">
        <v>60</v>
      </c>
      <c r="H27" s="378" t="s">
        <v>322</v>
      </c>
    </row>
    <row r="28" spans="1:9" ht="15">
      <c r="A28" s="53" t="s">
        <v>282</v>
      </c>
      <c r="B28" s="79" t="s">
        <v>283</v>
      </c>
      <c r="C28" s="526">
        <v>23000</v>
      </c>
      <c r="D28" s="328">
        <v>23000</v>
      </c>
      <c r="E28" s="542">
        <v>9700</v>
      </c>
      <c r="F28" s="542">
        <v>54600</v>
      </c>
      <c r="G28" s="15" t="s">
        <v>63</v>
      </c>
      <c r="H28" s="313" t="s">
        <v>340</v>
      </c>
      <c r="I28" s="41"/>
    </row>
    <row r="29" spans="1:8" ht="15">
      <c r="A29" s="54"/>
      <c r="B29" s="82" t="s">
        <v>284</v>
      </c>
      <c r="C29" s="525">
        <v>105</v>
      </c>
      <c r="D29" s="319">
        <v>105</v>
      </c>
      <c r="E29" s="206">
        <v>80</v>
      </c>
      <c r="F29" s="206">
        <v>150</v>
      </c>
      <c r="G29" s="327" t="s">
        <v>306</v>
      </c>
      <c r="H29" s="385" t="s">
        <v>333</v>
      </c>
    </row>
    <row r="30" spans="1:8" ht="15.75" thickBot="1">
      <c r="A30" s="54"/>
      <c r="B30" s="274" t="s">
        <v>307</v>
      </c>
      <c r="C30" s="523">
        <v>2000</v>
      </c>
      <c r="D30" s="322">
        <v>2000</v>
      </c>
      <c r="E30" s="323">
        <v>1000</v>
      </c>
      <c r="F30" s="323">
        <v>3600</v>
      </c>
      <c r="G30" s="324" t="s">
        <v>308</v>
      </c>
      <c r="H30" s="278" t="s">
        <v>333</v>
      </c>
    </row>
    <row r="31" spans="1:10" ht="15">
      <c r="A31" s="298"/>
      <c r="B31" s="305" t="s">
        <v>64</v>
      </c>
      <c r="C31" s="527">
        <v>0.05</v>
      </c>
      <c r="D31" s="306">
        <v>0.05</v>
      </c>
      <c r="E31" s="307">
        <v>0</v>
      </c>
      <c r="F31" s="308">
        <v>0.1</v>
      </c>
      <c r="G31" s="309" t="s">
        <v>301</v>
      </c>
      <c r="H31" s="310" t="s">
        <v>287</v>
      </c>
      <c r="I31" s="287"/>
      <c r="J31" s="287"/>
    </row>
    <row r="32" spans="1:10" ht="15.75" thickBot="1">
      <c r="A32" s="299"/>
      <c r="B32" s="300" t="s">
        <v>65</v>
      </c>
      <c r="C32" s="528">
        <v>30</v>
      </c>
      <c r="D32" s="301">
        <v>30</v>
      </c>
      <c r="E32" s="302">
        <v>20</v>
      </c>
      <c r="F32" s="303">
        <v>100</v>
      </c>
      <c r="G32" s="303" t="s">
        <v>66</v>
      </c>
      <c r="H32" s="304" t="s">
        <v>287</v>
      </c>
      <c r="I32" s="287"/>
      <c r="J32" s="287"/>
    </row>
    <row r="33" spans="1:8" ht="15">
      <c r="A33" s="669" t="s">
        <v>75</v>
      </c>
      <c r="B33" s="226" t="s">
        <v>102</v>
      </c>
      <c r="C33" s="522">
        <v>533</v>
      </c>
      <c r="D33" s="537">
        <v>533</v>
      </c>
      <c r="E33" s="540" t="s">
        <v>264</v>
      </c>
      <c r="F33" s="541" t="s">
        <v>264</v>
      </c>
      <c r="G33" s="15" t="s">
        <v>89</v>
      </c>
      <c r="H33" s="279" t="s">
        <v>295</v>
      </c>
    </row>
    <row r="34" spans="1:8" ht="45">
      <c r="A34" s="670"/>
      <c r="B34" s="82" t="s">
        <v>165</v>
      </c>
      <c r="C34" s="523">
        <v>1555</v>
      </c>
      <c r="D34" s="538">
        <v>1555</v>
      </c>
      <c r="E34" s="206">
        <v>70</v>
      </c>
      <c r="F34" s="206">
        <v>9736</v>
      </c>
      <c r="G34" s="11" t="s">
        <v>89</v>
      </c>
      <c r="H34" s="276" t="s">
        <v>341</v>
      </c>
    </row>
    <row r="35" spans="1:8" ht="45">
      <c r="A35" s="189"/>
      <c r="B35" s="80" t="s">
        <v>163</v>
      </c>
      <c r="C35" s="523">
        <v>555</v>
      </c>
      <c r="D35" s="538">
        <v>555</v>
      </c>
      <c r="E35" s="205">
        <v>12</v>
      </c>
      <c r="F35" s="205">
        <v>5750</v>
      </c>
      <c r="G35" s="11" t="s">
        <v>89</v>
      </c>
      <c r="H35" s="276" t="s">
        <v>341</v>
      </c>
    </row>
    <row r="36" spans="1:8" ht="15.75" thickBot="1">
      <c r="A36" s="190"/>
      <c r="B36" s="85" t="s">
        <v>285</v>
      </c>
      <c r="C36" s="498">
        <f>SUM(C33:C35)</f>
        <v>2643</v>
      </c>
      <c r="D36" s="21">
        <f>SUM(D33:D35)</f>
        <v>2643</v>
      </c>
      <c r="E36" s="224" t="s">
        <v>264</v>
      </c>
      <c r="F36" s="224" t="s">
        <v>264</v>
      </c>
      <c r="G36" s="13" t="s">
        <v>89</v>
      </c>
      <c r="H36" s="277" t="s">
        <v>286</v>
      </c>
    </row>
    <row r="37" spans="1:8" ht="15.75" thickBot="1">
      <c r="A37" s="56" t="s">
        <v>76</v>
      </c>
      <c r="B37" s="83" t="s">
        <v>164</v>
      </c>
      <c r="C37" s="529">
        <v>1306</v>
      </c>
      <c r="D37" s="543">
        <v>1306</v>
      </c>
      <c r="E37" s="208" t="s">
        <v>263</v>
      </c>
      <c r="F37" s="208" t="s">
        <v>263</v>
      </c>
      <c r="G37" s="60" t="s">
        <v>89</v>
      </c>
      <c r="H37" s="277" t="s">
        <v>296</v>
      </c>
    </row>
    <row r="38" spans="1:8" ht="15">
      <c r="A38" s="54" t="s">
        <v>101</v>
      </c>
      <c r="B38" s="84" t="s">
        <v>68</v>
      </c>
      <c r="C38" s="530">
        <v>5490</v>
      </c>
      <c r="D38" s="58">
        <v>5490</v>
      </c>
      <c r="E38" s="209"/>
      <c r="F38" s="209"/>
      <c r="G38" s="47" t="s">
        <v>69</v>
      </c>
      <c r="H38" s="274" t="s">
        <v>413</v>
      </c>
    </row>
    <row r="39" spans="1:8" ht="15">
      <c r="A39" s="54"/>
      <c r="B39" s="80" t="s">
        <v>46</v>
      </c>
      <c r="C39" s="531">
        <v>0.51</v>
      </c>
      <c r="D39" s="12">
        <v>0.51</v>
      </c>
      <c r="E39" s="210">
        <v>0.31</v>
      </c>
      <c r="F39" s="210">
        <v>0.71</v>
      </c>
      <c r="G39" s="11"/>
      <c r="H39" s="274" t="s">
        <v>294</v>
      </c>
    </row>
    <row r="40" spans="1:8" ht="15.75" thickBot="1">
      <c r="A40" s="55"/>
      <c r="B40" s="85" t="s">
        <v>47</v>
      </c>
      <c r="C40" s="532">
        <v>0.49</v>
      </c>
      <c r="D40" s="57">
        <v>0.49</v>
      </c>
      <c r="E40" s="211">
        <v>0.29</v>
      </c>
      <c r="F40" s="211">
        <v>0.69</v>
      </c>
      <c r="G40" s="13"/>
      <c r="H40" s="285" t="s">
        <v>294</v>
      </c>
    </row>
    <row r="41" spans="1:10" ht="30.75" thickBot="1">
      <c r="A41" s="286" t="s">
        <v>61</v>
      </c>
      <c r="B41" s="288"/>
      <c r="C41" s="529">
        <v>37.9</v>
      </c>
      <c r="D41" s="59">
        <v>37.9</v>
      </c>
      <c r="E41" s="208">
        <v>6</v>
      </c>
      <c r="F41" s="208">
        <v>74</v>
      </c>
      <c r="G41" s="60"/>
      <c r="H41" s="554" t="str">
        <f>'2. Brownfield Impact'!H40</f>
        <v>O - Hoehner 2005; Visit www.walkscore.com to get the walkability Index of your site.</v>
      </c>
      <c r="I41" s="287"/>
      <c r="J41" s="287"/>
    </row>
    <row r="42" spans="1:8" ht="15">
      <c r="A42" s="2"/>
      <c r="B42" s="46"/>
      <c r="C42" s="249"/>
      <c r="D42" s="249"/>
      <c r="E42" s="249"/>
      <c r="F42" s="249"/>
      <c r="G42" s="41"/>
      <c r="H42" s="222"/>
    </row>
    <row r="43" spans="1:5" ht="15">
      <c r="A43" s="2"/>
      <c r="B43" s="46"/>
      <c r="C43" s="41"/>
      <c r="D43" s="41"/>
      <c r="E43" s="41"/>
    </row>
    <row r="44" spans="1:3" ht="14.25" customHeight="1">
      <c r="A44" s="684" t="s">
        <v>397</v>
      </c>
      <c r="B44" s="684"/>
      <c r="C44" s="684"/>
    </row>
    <row r="45" spans="1:3" ht="15">
      <c r="A45" s="684"/>
      <c r="B45" s="684"/>
      <c r="C45" s="684"/>
    </row>
    <row r="46" spans="1:3" ht="15">
      <c r="A46" s="684"/>
      <c r="B46" s="684"/>
      <c r="C46" s="684"/>
    </row>
    <row r="47" spans="1:3" ht="15">
      <c r="A47" s="684"/>
      <c r="B47" s="684"/>
      <c r="C47" s="684"/>
    </row>
    <row r="48" spans="1:3" ht="15">
      <c r="A48" s="684"/>
      <c r="B48" s="684"/>
      <c r="C48" s="684"/>
    </row>
    <row r="49" spans="1:5" ht="15">
      <c r="A49" s="684"/>
      <c r="B49" s="684"/>
      <c r="C49" s="684"/>
      <c r="D49" s="41"/>
      <c r="E49" s="41"/>
    </row>
    <row r="50" ht="15.75" thickBot="1">
      <c r="B50" s="1"/>
    </row>
    <row r="51" spans="1:5" ht="42.75" thickBot="1">
      <c r="A51" s="618" t="s">
        <v>305</v>
      </c>
      <c r="B51" s="619"/>
      <c r="C51" s="619"/>
      <c r="D51" s="620"/>
      <c r="E51" s="273" t="s">
        <v>291</v>
      </c>
    </row>
    <row r="52" spans="1:10" ht="15">
      <c r="A52" s="291" t="s">
        <v>288</v>
      </c>
      <c r="B52" s="295"/>
      <c r="C52" s="336">
        <v>0.7</v>
      </c>
      <c r="D52" s="296" t="s">
        <v>74</v>
      </c>
      <c r="E52" s="293" t="s">
        <v>290</v>
      </c>
      <c r="F52" s="287"/>
      <c r="G52" s="287"/>
      <c r="H52" s="287"/>
      <c r="I52" s="287"/>
      <c r="J52" s="287"/>
    </row>
    <row r="53" spans="1:10" ht="15">
      <c r="A53" s="291" t="s">
        <v>289</v>
      </c>
      <c r="B53" s="295"/>
      <c r="C53" s="337">
        <v>0.7</v>
      </c>
      <c r="D53" s="292" t="s">
        <v>74</v>
      </c>
      <c r="E53" s="294" t="s">
        <v>290</v>
      </c>
      <c r="F53" s="287"/>
      <c r="G53" s="287"/>
      <c r="H53" s="287"/>
      <c r="I53" s="287"/>
      <c r="J53" s="287"/>
    </row>
    <row r="54" spans="1:10" ht="15">
      <c r="A54" s="588" t="s">
        <v>368</v>
      </c>
      <c r="B54" s="589"/>
      <c r="C54" s="482">
        <v>0.12</v>
      </c>
      <c r="D54" s="66" t="s">
        <v>383</v>
      </c>
      <c r="E54" s="283" t="s">
        <v>378</v>
      </c>
      <c r="F54" s="287"/>
      <c r="G54" s="287"/>
      <c r="H54" s="287"/>
      <c r="I54" s="287"/>
      <c r="J54" s="287"/>
    </row>
    <row r="55" spans="1:7" ht="15">
      <c r="A55" s="611" t="s">
        <v>166</v>
      </c>
      <c r="B55" s="658"/>
      <c r="C55" s="548">
        <f>((1329/1000)*0.45)/C54</f>
        <v>4.98375</v>
      </c>
      <c r="D55" s="62" t="s">
        <v>74</v>
      </c>
      <c r="E55" s="283" t="s">
        <v>386</v>
      </c>
      <c r="F55" s="4"/>
      <c r="G55" s="4"/>
    </row>
    <row r="56" spans="1:5" ht="15">
      <c r="A56" s="395" t="s">
        <v>367</v>
      </c>
      <c r="B56" s="396"/>
      <c r="C56" s="331">
        <v>12.19</v>
      </c>
      <c r="D56" s="62" t="s">
        <v>369</v>
      </c>
      <c r="E56" s="549" t="s">
        <v>379</v>
      </c>
    </row>
    <row r="57" spans="1:7" ht="15">
      <c r="A57" s="604" t="s">
        <v>167</v>
      </c>
      <c r="B57" s="671"/>
      <c r="C57" s="338">
        <f>(137.7*1030*0.45*1000)/(1000000*C56)</f>
        <v>5.23576292042658</v>
      </c>
      <c r="D57" s="62" t="s">
        <v>74</v>
      </c>
      <c r="E57" s="550" t="s">
        <v>374</v>
      </c>
      <c r="F57" s="4"/>
      <c r="G57" s="4"/>
    </row>
    <row r="58" spans="1:7" ht="15">
      <c r="A58" s="611" t="s">
        <v>168</v>
      </c>
      <c r="B58" s="658"/>
      <c r="C58" s="339">
        <v>1.78</v>
      </c>
      <c r="D58" s="62" t="s">
        <v>74</v>
      </c>
      <c r="E58" s="266" t="s">
        <v>290</v>
      </c>
      <c r="F58" s="4"/>
      <c r="G58" s="4"/>
    </row>
    <row r="59" spans="1:7" ht="15">
      <c r="A59" s="611" t="s">
        <v>169</v>
      </c>
      <c r="B59" s="658"/>
      <c r="C59" s="339">
        <v>0.698</v>
      </c>
      <c r="D59" s="62" t="s">
        <v>74</v>
      </c>
      <c r="E59" s="266" t="s">
        <v>290</v>
      </c>
      <c r="F59" s="4"/>
      <c r="G59" s="4"/>
    </row>
    <row r="60" spans="1:6" ht="15">
      <c r="A60" s="609" t="s">
        <v>96</v>
      </c>
      <c r="B60" s="659"/>
      <c r="C60" s="338">
        <f>0.648*1000/C87</f>
        <v>1.8744151990479778</v>
      </c>
      <c r="D60" s="62" t="s">
        <v>74</v>
      </c>
      <c r="E60" s="266" t="s">
        <v>290</v>
      </c>
      <c r="F60" s="297"/>
    </row>
    <row r="61" spans="1:5" ht="15">
      <c r="A61" s="625" t="s">
        <v>124</v>
      </c>
      <c r="B61" s="657"/>
      <c r="C61" s="340">
        <f>'2. Brownfield Impact'!C60</f>
        <v>3.7</v>
      </c>
      <c r="D61" s="63" t="s">
        <v>125</v>
      </c>
      <c r="E61" s="266" t="s">
        <v>325</v>
      </c>
    </row>
    <row r="62" spans="1:5" ht="30">
      <c r="A62" s="625" t="s">
        <v>53</v>
      </c>
      <c r="B62" s="657"/>
      <c r="C62" s="340">
        <v>121.3</v>
      </c>
      <c r="D62" s="63" t="s">
        <v>54</v>
      </c>
      <c r="E62" s="280" t="s">
        <v>293</v>
      </c>
    </row>
    <row r="63" spans="1:5" ht="15">
      <c r="A63" s="625" t="s">
        <v>50</v>
      </c>
      <c r="B63" s="657"/>
      <c r="C63" s="338">
        <f>3.26/1.61</f>
        <v>2.024844720496894</v>
      </c>
      <c r="D63" s="63" t="s">
        <v>52</v>
      </c>
      <c r="E63" s="266" t="s">
        <v>292</v>
      </c>
    </row>
    <row r="64" spans="1:5" ht="15">
      <c r="A64" s="625" t="s">
        <v>51</v>
      </c>
      <c r="B64" s="657"/>
      <c r="C64" s="338">
        <f>3.39/1.61</f>
        <v>2.1055900621118013</v>
      </c>
      <c r="D64" s="63" t="s">
        <v>52</v>
      </c>
      <c r="E64" s="266" t="s">
        <v>292</v>
      </c>
    </row>
    <row r="65" spans="1:5" ht="15">
      <c r="A65" s="609" t="s">
        <v>48</v>
      </c>
      <c r="B65" s="659"/>
      <c r="C65" s="341">
        <v>97</v>
      </c>
      <c r="D65" s="64" t="s">
        <v>127</v>
      </c>
      <c r="E65" s="266" t="s">
        <v>294</v>
      </c>
    </row>
    <row r="66" spans="1:8" ht="15">
      <c r="A66" s="609" t="s">
        <v>49</v>
      </c>
      <c r="B66" s="659"/>
      <c r="C66" s="341">
        <v>56</v>
      </c>
      <c r="D66" s="64" t="s">
        <v>127</v>
      </c>
      <c r="E66" s="266" t="s">
        <v>294</v>
      </c>
      <c r="H66" s="2"/>
    </row>
    <row r="67" spans="1:8" ht="30">
      <c r="A67" s="609" t="s">
        <v>97</v>
      </c>
      <c r="B67" s="659"/>
      <c r="C67" s="338">
        <v>0.06</v>
      </c>
      <c r="D67" s="64" t="s">
        <v>80</v>
      </c>
      <c r="E67" s="280" t="s">
        <v>416</v>
      </c>
      <c r="F67" s="297"/>
      <c r="H67" s="2"/>
    </row>
    <row r="68" spans="1:8" ht="30.75" thickBot="1">
      <c r="A68" s="607" t="s">
        <v>95</v>
      </c>
      <c r="B68" s="660"/>
      <c r="C68" s="342">
        <f>'2. Brownfield Impact'!C67</f>
        <v>16.5</v>
      </c>
      <c r="D68" s="65" t="s">
        <v>126</v>
      </c>
      <c r="E68" s="553" t="str">
        <f>'2. Brownfield Impact'!E67</f>
        <v>M - TTI 2009 (Adjusted to 2012 cost)</v>
      </c>
      <c r="H68" s="2"/>
    </row>
    <row r="69" s="2" customFormat="1" ht="15"/>
    <row r="70" spans="1:5" s="2" customFormat="1" ht="14.25" customHeight="1">
      <c r="A70" s="691" t="s">
        <v>303</v>
      </c>
      <c r="B70" s="691"/>
      <c r="C70" s="691"/>
      <c r="D70" s="539"/>
      <c r="E70" s="539"/>
    </row>
    <row r="71" spans="1:5" s="2" customFormat="1" ht="15">
      <c r="A71" s="691"/>
      <c r="B71" s="691"/>
      <c r="C71" s="691"/>
      <c r="D71" s="539"/>
      <c r="E71" s="539"/>
    </row>
    <row r="72" spans="1:8" s="2" customFormat="1" ht="15">
      <c r="A72" s="691"/>
      <c r="B72" s="691"/>
      <c r="C72" s="691"/>
      <c r="D72" s="539"/>
      <c r="E72" s="539"/>
      <c r="H72"/>
    </row>
    <row r="73" spans="1:8" s="2" customFormat="1" ht="15">
      <c r="A73" s="691"/>
      <c r="B73" s="691"/>
      <c r="C73" s="691"/>
      <c r="D73" s="539"/>
      <c r="E73" s="539"/>
      <c r="H73"/>
    </row>
    <row r="74" spans="1:8" s="2" customFormat="1" ht="15.75" thickBot="1">
      <c r="A74" s="4"/>
      <c r="B74" s="397"/>
      <c r="C74" s="397"/>
      <c r="H74"/>
    </row>
    <row r="75" spans="1:6" ht="21.75" thickBot="1">
      <c r="A75" s="575" t="s">
        <v>300</v>
      </c>
      <c r="B75" s="576"/>
      <c r="C75" s="576"/>
      <c r="D75" s="577"/>
      <c r="E75" s="605" t="s">
        <v>27</v>
      </c>
      <c r="F75" s="633"/>
    </row>
    <row r="76" spans="1:6" ht="15">
      <c r="A76" s="582" t="s">
        <v>26</v>
      </c>
      <c r="B76" s="583"/>
      <c r="C76" s="19" t="s">
        <v>70</v>
      </c>
      <c r="D76" s="16" t="s">
        <v>71</v>
      </c>
      <c r="E76" s="19" t="s">
        <v>70</v>
      </c>
      <c r="F76" s="17" t="s">
        <v>71</v>
      </c>
    </row>
    <row r="77" spans="1:6" ht="15.75" thickBot="1">
      <c r="A77" s="584"/>
      <c r="B77" s="585"/>
      <c r="C77" s="74" t="s">
        <v>67</v>
      </c>
      <c r="D77" s="73" t="s">
        <v>72</v>
      </c>
      <c r="E77" s="74" t="s">
        <v>67</v>
      </c>
      <c r="F77" s="75" t="s">
        <v>72</v>
      </c>
    </row>
    <row r="78" spans="1:6" ht="15">
      <c r="A78" s="586" t="s">
        <v>73</v>
      </c>
      <c r="B78" s="587"/>
      <c r="C78" s="372">
        <v>0</v>
      </c>
      <c r="D78" s="373">
        <v>0</v>
      </c>
      <c r="E78" s="76">
        <v>0</v>
      </c>
      <c r="F78" s="77">
        <v>0</v>
      </c>
    </row>
    <row r="79" spans="1:6" ht="15">
      <c r="A79" s="289" t="s">
        <v>282</v>
      </c>
      <c r="B79" s="290"/>
      <c r="C79" s="372"/>
      <c r="D79" s="373"/>
      <c r="E79" s="76"/>
      <c r="F79" s="77"/>
    </row>
    <row r="80" spans="1:6" ht="15">
      <c r="A80" s="289"/>
      <c r="B80" s="272" t="s">
        <v>283</v>
      </c>
      <c r="C80" s="372">
        <f>-PMT(C31,C32,C28/C26/C27)</f>
        <v>174.38030382824726</v>
      </c>
      <c r="D80" s="373">
        <f>+C52*C80</f>
        <v>122.06621267977307</v>
      </c>
      <c r="E80" s="76">
        <f>-PMT(D31,D32,D28/D26/D27)</f>
        <v>174.38030382824726</v>
      </c>
      <c r="F80" s="77">
        <f>+C52*E80</f>
        <v>122.06621267977307</v>
      </c>
    </row>
    <row r="81" spans="1:6" ht="15">
      <c r="A81" s="289"/>
      <c r="B81" s="272" t="s">
        <v>284</v>
      </c>
      <c r="C81" s="372">
        <f>-PMT(C31,C32,(C29*C30)/C27)</f>
        <v>5254.154371868493</v>
      </c>
      <c r="D81" s="373">
        <f>+C53*C81</f>
        <v>3677.908060307945</v>
      </c>
      <c r="E81" s="76">
        <f>-PMT(D31,D32,(D29*D30)/D27)</f>
        <v>5254.154371868493</v>
      </c>
      <c r="F81" s="77">
        <f>+C53*E81</f>
        <v>3677.908060307945</v>
      </c>
    </row>
    <row r="82" spans="1:6" ht="15">
      <c r="A82" s="580" t="s">
        <v>75</v>
      </c>
      <c r="B82" s="581"/>
      <c r="C82" s="374">
        <f>C36/C27</f>
        <v>1016.5384615384615</v>
      </c>
      <c r="D82" s="375">
        <f>SUM(D83:D85)</f>
        <v>4463.19987339875</v>
      </c>
      <c r="E82" s="20">
        <f>SUM(E83:E85)</f>
        <v>1016.5384615384615</v>
      </c>
      <c r="F82" s="61">
        <f>SUM(F83:F85)</f>
        <v>4463.19987339875</v>
      </c>
    </row>
    <row r="83" spans="1:6" ht="15">
      <c r="A83" s="578" t="s">
        <v>88</v>
      </c>
      <c r="B83" s="579"/>
      <c r="C83" s="374">
        <f>C34/C27</f>
        <v>598.0769230769231</v>
      </c>
      <c r="D83" s="376">
        <f>C83*C55</f>
        <v>2980.6658653846152</v>
      </c>
      <c r="E83" s="20">
        <f>+D34/D27</f>
        <v>598.0769230769231</v>
      </c>
      <c r="F83" s="61">
        <f>+C55*E83</f>
        <v>2980.6658653846152</v>
      </c>
    </row>
    <row r="84" spans="1:6" ht="15">
      <c r="A84" s="578" t="s">
        <v>103</v>
      </c>
      <c r="B84" s="579"/>
      <c r="C84" s="374">
        <f>C35/C27</f>
        <v>213.46153846153845</v>
      </c>
      <c r="D84" s="376">
        <f>C84*C57</f>
        <v>1117.6340080141351</v>
      </c>
      <c r="E84" s="20">
        <f>+D35/D27</f>
        <v>213.46153846153845</v>
      </c>
      <c r="F84" s="61">
        <f>+C57*E84</f>
        <v>1117.6340080141351</v>
      </c>
    </row>
    <row r="85" spans="1:6" ht="15">
      <c r="A85" s="578" t="s">
        <v>90</v>
      </c>
      <c r="B85" s="579"/>
      <c r="C85" s="374">
        <f>C33/C27</f>
        <v>205</v>
      </c>
      <c r="D85" s="376">
        <f>C85*C58</f>
        <v>364.9</v>
      </c>
      <c r="E85" s="20">
        <f>+D33/D27</f>
        <v>205</v>
      </c>
      <c r="F85" s="61">
        <f>+C58*E85</f>
        <v>364.9</v>
      </c>
    </row>
    <row r="86" spans="1:6" ht="15">
      <c r="A86" s="580" t="s">
        <v>76</v>
      </c>
      <c r="B86" s="581"/>
      <c r="C86" s="374">
        <f>C37/C27</f>
        <v>502.30769230769226</v>
      </c>
      <c r="D86" s="376">
        <f>C59*C86</f>
        <v>350.61076923076917</v>
      </c>
      <c r="E86" s="20">
        <f>+D37/D27</f>
        <v>502.30769230769226</v>
      </c>
      <c r="F86" s="61">
        <f>+C59*E86</f>
        <v>350.61076923076917</v>
      </c>
    </row>
    <row r="87" spans="1:6" ht="15">
      <c r="A87" s="580" t="s">
        <v>28</v>
      </c>
      <c r="B87" s="581"/>
      <c r="C87" s="374">
        <f>C38*(C39*C63+C40*C64)*C61/C62</f>
        <v>345.7078241411623</v>
      </c>
      <c r="D87" s="375">
        <f>+C87*C60</f>
        <v>648</v>
      </c>
      <c r="E87" s="20">
        <f>+D38*(D39*C63+D40*C64)*C61/C62</f>
        <v>345.7078241411623</v>
      </c>
      <c r="F87" s="22">
        <f>+E87*C60</f>
        <v>648</v>
      </c>
    </row>
    <row r="88" spans="1:6" ht="15">
      <c r="A88" s="580" t="s">
        <v>302</v>
      </c>
      <c r="B88" s="581"/>
      <c r="C88" s="374">
        <f>C38*C67</f>
        <v>329.4</v>
      </c>
      <c r="D88" s="520" t="s">
        <v>264</v>
      </c>
      <c r="E88" s="20">
        <f>+D38*C67</f>
        <v>329.4</v>
      </c>
      <c r="F88" s="270" t="s">
        <v>264</v>
      </c>
    </row>
    <row r="89" spans="1:8" ht="15.75" thickBot="1">
      <c r="A89" s="634" t="s">
        <v>77</v>
      </c>
      <c r="B89" s="635"/>
      <c r="C89" s="257">
        <f>(C38*C39/C65+C38*C40/C66)*C68</f>
        <v>1268.8903994845364</v>
      </c>
      <c r="D89" s="521" t="s">
        <v>264</v>
      </c>
      <c r="E89" s="21">
        <f>+(D38*D39/C65+D38*D40/C66)*C68</f>
        <v>1268.8903994845364</v>
      </c>
      <c r="F89" s="271" t="s">
        <v>264</v>
      </c>
      <c r="H89" s="5"/>
    </row>
    <row r="90" spans="1:6" ht="15.75" thickBot="1">
      <c r="A90" s="602" t="s">
        <v>78</v>
      </c>
      <c r="B90" s="603"/>
      <c r="C90" s="95">
        <f>SUM(C78:C82,C86:C89)</f>
        <v>8891.379053168594</v>
      </c>
      <c r="D90" s="95">
        <f>SUM(D78:D82,D86:D89)</f>
        <v>9261.784915617236</v>
      </c>
      <c r="E90" s="95">
        <f>SUM(E78:E82,E86:E89)</f>
        <v>8891.379053168594</v>
      </c>
      <c r="F90" s="95">
        <f>SUM(F78:F82,F86:F89)</f>
        <v>9261.784915617236</v>
      </c>
    </row>
    <row r="91" spans="1:6" ht="15">
      <c r="A91" s="514"/>
      <c r="B91" s="514"/>
      <c r="C91" s="72"/>
      <c r="D91" s="72"/>
      <c r="E91" s="72"/>
      <c r="F91" s="72"/>
    </row>
    <row r="92" spans="1:6" ht="16.5" thickBot="1">
      <c r="A92" s="516" t="s">
        <v>394</v>
      </c>
      <c r="B92" s="514"/>
      <c r="C92" s="72"/>
      <c r="D92" s="72"/>
      <c r="E92" s="72"/>
      <c r="F92" s="72"/>
    </row>
    <row r="93" spans="1:6" ht="15">
      <c r="A93" s="685">
        <f>D90</f>
        <v>9261.784915617236</v>
      </c>
      <c r="B93" s="686"/>
      <c r="C93" s="677" t="s">
        <v>395</v>
      </c>
      <c r="D93" s="680" t="s">
        <v>344</v>
      </c>
      <c r="E93" s="534">
        <v>9</v>
      </c>
      <c r="F93" s="517" t="s">
        <v>348</v>
      </c>
    </row>
    <row r="94" spans="1:7" ht="15">
      <c r="A94" s="687"/>
      <c r="B94" s="688"/>
      <c r="C94" s="678"/>
      <c r="D94" s="681"/>
      <c r="E94" s="535">
        <f>+D90/E93</f>
        <v>1029.0872128463595</v>
      </c>
      <c r="F94" s="518" t="s">
        <v>309</v>
      </c>
      <c r="G94" s="5"/>
    </row>
    <row r="95" spans="1:6" ht="30.75" thickBot="1">
      <c r="A95" s="689"/>
      <c r="B95" s="690"/>
      <c r="C95" s="679"/>
      <c r="D95" s="682"/>
      <c r="E95" s="536">
        <f>+E94*33.4</f>
        <v>34371.512909068406</v>
      </c>
      <c r="F95" s="519" t="s">
        <v>353</v>
      </c>
    </row>
    <row r="96" spans="2:5" ht="15">
      <c r="B96" s="1"/>
      <c r="D96" s="346"/>
      <c r="E96" s="4"/>
    </row>
    <row r="97" spans="2:5" ht="15">
      <c r="B97" s="1"/>
      <c r="D97" s="346"/>
      <c r="E97" s="4"/>
    </row>
  </sheetData>
  <sheetProtection/>
  <mergeCells count="48">
    <mergeCell ref="C93:C95"/>
    <mergeCell ref="D93:D95"/>
    <mergeCell ref="A3:C12"/>
    <mergeCell ref="A44:C49"/>
    <mergeCell ref="A93:B95"/>
    <mergeCell ref="A70:C73"/>
    <mergeCell ref="A54:B54"/>
    <mergeCell ref="D21:G21"/>
    <mergeCell ref="A76:B77"/>
    <mergeCell ref="A78:B78"/>
    <mergeCell ref="A65:B65"/>
    <mergeCell ref="A2:B2"/>
    <mergeCell ref="A14:B14"/>
    <mergeCell ref="C14:F14"/>
    <mergeCell ref="A15:B15"/>
    <mergeCell ref="C15:F15"/>
    <mergeCell ref="A16:B16"/>
    <mergeCell ref="C16:F16"/>
    <mergeCell ref="A88:B88"/>
    <mergeCell ref="A82:B82"/>
    <mergeCell ref="A83:B83"/>
    <mergeCell ref="A89:B89"/>
    <mergeCell ref="A18:B18"/>
    <mergeCell ref="A57:B57"/>
    <mergeCell ref="A58:B58"/>
    <mergeCell ref="A22:B22"/>
    <mergeCell ref="A51:D51"/>
    <mergeCell ref="A64:B64"/>
    <mergeCell ref="A67:B67"/>
    <mergeCell ref="A17:B17"/>
    <mergeCell ref="C17:F17"/>
    <mergeCell ref="C18:F18"/>
    <mergeCell ref="A33:A34"/>
    <mergeCell ref="A90:B90"/>
    <mergeCell ref="A84:B84"/>
    <mergeCell ref="A85:B85"/>
    <mergeCell ref="A86:B86"/>
    <mergeCell ref="A87:B87"/>
    <mergeCell ref="E75:F75"/>
    <mergeCell ref="A63:B63"/>
    <mergeCell ref="A55:B55"/>
    <mergeCell ref="A59:B59"/>
    <mergeCell ref="A60:B60"/>
    <mergeCell ref="A61:B61"/>
    <mergeCell ref="A62:B62"/>
    <mergeCell ref="A68:B68"/>
    <mergeCell ref="A75:D75"/>
    <mergeCell ref="A66:B66"/>
  </mergeCells>
  <printOptions/>
  <pageMargins left="0.7" right="0.7" top="0.75" bottom="0.75" header="0.3" footer="0.3"/>
  <pageSetup fitToHeight="1" fitToWidth="1" horizontalDpi="600" verticalDpi="600" orientation="landscape" scale="37"/>
</worksheet>
</file>

<file path=xl/worksheets/sheet4.xml><?xml version="1.0" encoding="utf-8"?>
<worksheet xmlns="http://schemas.openxmlformats.org/spreadsheetml/2006/main" xmlns:r="http://schemas.openxmlformats.org/officeDocument/2006/relationships">
  <sheetPr>
    <pageSetUpPr fitToPage="1"/>
  </sheetPr>
  <dimension ref="A1:V63"/>
  <sheetViews>
    <sheetView tabSelected="1" zoomScalePageLayoutView="0" workbookViewId="0" topLeftCell="A1">
      <selection activeCell="E12" sqref="E12"/>
    </sheetView>
  </sheetViews>
  <sheetFormatPr defaultColWidth="8.7109375" defaultRowHeight="15"/>
  <cols>
    <col min="1" max="1" width="42.7109375" style="4" customWidth="1"/>
    <col min="2" max="2" width="0.13671875" style="0" hidden="1" customWidth="1"/>
    <col min="3" max="3" width="13.7109375" style="0" bestFit="1" customWidth="1"/>
    <col min="4" max="4" width="19.7109375" style="0" bestFit="1" customWidth="1"/>
    <col min="5" max="5" width="30.7109375" style="4" customWidth="1"/>
    <col min="6" max="6" width="19.7109375" style="4" bestFit="1" customWidth="1"/>
    <col min="7" max="7" width="15.140625" style="0" bestFit="1" customWidth="1"/>
  </cols>
  <sheetData>
    <row r="1" ht="26.25">
      <c r="A1" s="40" t="s">
        <v>143</v>
      </c>
    </row>
    <row r="2" ht="26.25">
      <c r="A2" s="40"/>
    </row>
    <row r="3" spans="1:4" ht="25.5" customHeight="1">
      <c r="A3" s="695" t="s">
        <v>392</v>
      </c>
      <c r="B3" s="695"/>
      <c r="C3" s="695"/>
      <c r="D3" s="695"/>
    </row>
    <row r="4" spans="1:4" ht="15">
      <c r="A4" s="695"/>
      <c r="B4" s="695"/>
      <c r="C4" s="695"/>
      <c r="D4" s="695"/>
    </row>
    <row r="5" spans="1:4" ht="15">
      <c r="A5" s="695"/>
      <c r="B5" s="695"/>
      <c r="C5" s="695"/>
      <c r="D5" s="695"/>
    </row>
    <row r="6" spans="1:4" ht="39" customHeight="1">
      <c r="A6" s="695"/>
      <c r="B6" s="695"/>
      <c r="C6" s="695"/>
      <c r="D6" s="695"/>
    </row>
    <row r="8" spans="1:6" ht="21">
      <c r="A8" s="45" t="s">
        <v>144</v>
      </c>
      <c r="E8"/>
      <c r="F8"/>
    </row>
    <row r="9" spans="1:6" ht="15.75" thickBot="1">
      <c r="A9" s="69"/>
      <c r="B9" s="70"/>
      <c r="C9" s="70"/>
      <c r="D9" s="70"/>
      <c r="E9" s="72"/>
      <c r="F9"/>
    </row>
    <row r="10" spans="1:6" ht="21.75" thickBot="1">
      <c r="A10" s="575" t="s">
        <v>318</v>
      </c>
      <c r="B10" s="576"/>
      <c r="C10" s="576"/>
      <c r="D10" s="577"/>
      <c r="E10"/>
      <c r="F10"/>
    </row>
    <row r="11" spans="1:6" ht="15">
      <c r="A11" s="582" t="s">
        <v>26</v>
      </c>
      <c r="B11" s="583"/>
      <c r="C11" s="19" t="s">
        <v>70</v>
      </c>
      <c r="D11" s="17" t="s">
        <v>71</v>
      </c>
      <c r="E11"/>
      <c r="F11"/>
    </row>
    <row r="12" spans="1:6" ht="15.75" thickBot="1">
      <c r="A12" s="584"/>
      <c r="B12" s="585"/>
      <c r="C12" s="74" t="s">
        <v>67</v>
      </c>
      <c r="D12" s="75" t="s">
        <v>72</v>
      </c>
      <c r="E12"/>
      <c r="F12"/>
    </row>
    <row r="13" spans="1:6" ht="15">
      <c r="A13" s="586" t="s">
        <v>73</v>
      </c>
      <c r="B13" s="587"/>
      <c r="C13" s="486">
        <f>'2. Brownfield Impact'!C77</f>
        <v>691.7969922960183</v>
      </c>
      <c r="D13" s="487">
        <f>'2. Brownfield Impact'!D77</f>
        <v>1765.9796638780215</v>
      </c>
      <c r="E13"/>
      <c r="F13"/>
    </row>
    <row r="14" spans="1:6" ht="15">
      <c r="A14" s="320" t="s">
        <v>282</v>
      </c>
      <c r="B14" s="321"/>
      <c r="C14" s="486"/>
      <c r="D14" s="487"/>
      <c r="E14"/>
      <c r="F14"/>
    </row>
    <row r="15" spans="1:6" ht="15">
      <c r="A15" s="343" t="s">
        <v>283</v>
      </c>
      <c r="B15" s="321"/>
      <c r="C15" s="486">
        <f>'2. Brownfield Impact'!C79</f>
        <v>67.13641697387519</v>
      </c>
      <c r="D15" s="487">
        <f>'2. Brownfield Impact'!D79</f>
        <v>44.310035202757625</v>
      </c>
      <c r="E15"/>
      <c r="F15"/>
    </row>
    <row r="16" spans="1:6" ht="15">
      <c r="A16" s="343" t="s">
        <v>284</v>
      </c>
      <c r="B16" s="321"/>
      <c r="C16" s="486">
        <f>'2. Brownfield Impact'!C80</f>
        <v>5692.000569524201</v>
      </c>
      <c r="D16" s="487">
        <f>'2. Brownfield Impact'!D80</f>
        <v>3984.4003986669404</v>
      </c>
      <c r="E16"/>
      <c r="F16"/>
    </row>
    <row r="17" spans="1:6" ht="15">
      <c r="A17" s="580" t="s">
        <v>75</v>
      </c>
      <c r="B17" s="581"/>
      <c r="C17" s="488">
        <f>'2. Brownfield Impact'!C81</f>
        <v>930.4166666666667</v>
      </c>
      <c r="D17" s="489">
        <f>'2. Brownfield Impact'!D81</f>
        <v>4040.4973684885153</v>
      </c>
      <c r="E17"/>
      <c r="F17"/>
    </row>
    <row r="18" spans="1:6" ht="15">
      <c r="A18" s="578" t="s">
        <v>88</v>
      </c>
      <c r="B18" s="579"/>
      <c r="C18" s="488">
        <f>'2. Brownfield Impact'!C82</f>
        <v>520.4166666666667</v>
      </c>
      <c r="D18" s="489">
        <f>'2. Brownfield Impact'!D82</f>
        <v>2593.6265625</v>
      </c>
      <c r="E18"/>
      <c r="F18"/>
    </row>
    <row r="19" spans="1:6" ht="15">
      <c r="A19" s="578" t="s">
        <v>103</v>
      </c>
      <c r="B19" s="579"/>
      <c r="C19" s="488">
        <f>'2. Brownfield Impact'!C83</f>
        <v>207.5</v>
      </c>
      <c r="D19" s="489">
        <f>'2. Brownfield Impact'!D83</f>
        <v>1086.4208059885152</v>
      </c>
      <c r="E19"/>
      <c r="F19"/>
    </row>
    <row r="20" spans="1:6" ht="15">
      <c r="A20" s="578" t="s">
        <v>90</v>
      </c>
      <c r="B20" s="579"/>
      <c r="C20" s="488">
        <f>'2. Brownfield Impact'!C84</f>
        <v>202.5</v>
      </c>
      <c r="D20" s="489">
        <f>'2. Brownfield Impact'!D84</f>
        <v>360.45</v>
      </c>
      <c r="E20"/>
      <c r="F20"/>
    </row>
    <row r="21" spans="1:6" ht="15">
      <c r="A21" s="580" t="s">
        <v>76</v>
      </c>
      <c r="B21" s="581"/>
      <c r="C21" s="488">
        <f>'2. Brownfield Impact'!C85</f>
        <v>407.08333333333337</v>
      </c>
      <c r="D21" s="489">
        <f>'2. Brownfield Impact'!D85</f>
        <v>284.9583333333333</v>
      </c>
      <c r="E21"/>
      <c r="F21"/>
    </row>
    <row r="22" spans="1:6" ht="15">
      <c r="A22" s="580" t="s">
        <v>28</v>
      </c>
      <c r="B22" s="581"/>
      <c r="C22" s="488">
        <f>'2. Brownfield Impact'!C86</f>
        <v>179.2768989671929</v>
      </c>
      <c r="D22" s="489">
        <f>'2. Brownfield Impact'!D86</f>
        <v>337</v>
      </c>
      <c r="E22"/>
      <c r="F22"/>
    </row>
    <row r="23" spans="1:6" ht="15">
      <c r="A23" s="580" t="s">
        <v>302</v>
      </c>
      <c r="B23" s="581"/>
      <c r="C23" s="488">
        <f>'2. Brownfield Impact'!C87</f>
        <v>113.88</v>
      </c>
      <c r="D23" s="490" t="s">
        <v>264</v>
      </c>
      <c r="E23"/>
      <c r="F23"/>
    </row>
    <row r="24" spans="1:6" ht="15.75" thickBot="1">
      <c r="A24" s="634" t="s">
        <v>77</v>
      </c>
      <c r="B24" s="635"/>
      <c r="C24" s="491">
        <f>'2. Brownfield Impact'!C88</f>
        <v>658.020212628866</v>
      </c>
      <c r="D24" s="492" t="s">
        <v>264</v>
      </c>
      <c r="E24"/>
      <c r="F24"/>
    </row>
    <row r="25" spans="1:6" ht="15.75" thickBot="1">
      <c r="A25" s="602" t="s">
        <v>78</v>
      </c>
      <c r="B25" s="603"/>
      <c r="C25" s="493">
        <f>SUM(C21:C24,C13:C17)</f>
        <v>8739.611090390154</v>
      </c>
      <c r="D25" s="493">
        <f>SUM(D21:D24,D13:D17)</f>
        <v>10457.145799569567</v>
      </c>
      <c r="E25"/>
      <c r="F25"/>
    </row>
    <row r="26" spans="1:4" s="4" customFormat="1" ht="15.75" thickBot="1">
      <c r="A26" s="188"/>
      <c r="B26" s="71"/>
      <c r="C26" s="42"/>
      <c r="D26" s="42"/>
    </row>
    <row r="27" spans="1:6" ht="21.75" thickBot="1">
      <c r="A27" s="575" t="s">
        <v>319</v>
      </c>
      <c r="B27" s="576"/>
      <c r="C27" s="576"/>
      <c r="D27" s="577"/>
      <c r="E27"/>
      <c r="F27"/>
    </row>
    <row r="28" spans="1:6" ht="15">
      <c r="A28" s="582" t="s">
        <v>26</v>
      </c>
      <c r="B28" s="583"/>
      <c r="C28" s="19" t="s">
        <v>70</v>
      </c>
      <c r="D28" s="17" t="s">
        <v>71</v>
      </c>
      <c r="E28"/>
      <c r="F28"/>
    </row>
    <row r="29" spans="1:6" ht="15.75" thickBot="1">
      <c r="A29" s="584"/>
      <c r="B29" s="585"/>
      <c r="C29" s="74" t="s">
        <v>67</v>
      </c>
      <c r="D29" s="75" t="s">
        <v>72</v>
      </c>
      <c r="E29"/>
      <c r="F29"/>
    </row>
    <row r="30" spans="1:4" s="4" customFormat="1" ht="15">
      <c r="A30" s="586" t="s">
        <v>73</v>
      </c>
      <c r="B30" s="587"/>
      <c r="C30" s="494">
        <f>'3. Greenfield Impact'!C78</f>
        <v>0</v>
      </c>
      <c r="D30" s="495">
        <f>'3. Greenfield Impact'!D78</f>
        <v>0</v>
      </c>
    </row>
    <row r="31" spans="1:4" s="4" customFormat="1" ht="15">
      <c r="A31" s="320" t="s">
        <v>282</v>
      </c>
      <c r="B31" s="321"/>
      <c r="C31" s="494"/>
      <c r="D31" s="495"/>
    </row>
    <row r="32" spans="1:4" s="4" customFormat="1" ht="15">
      <c r="A32" s="343" t="s">
        <v>283</v>
      </c>
      <c r="B32" s="321"/>
      <c r="C32" s="494">
        <f>'3. Greenfield Impact'!D80+'3. Greenfield Impact'!C80</f>
        <v>296.44651650802035</v>
      </c>
      <c r="D32" s="495">
        <f>'3. Greenfield Impact'!D80</f>
        <v>122.06621267977307</v>
      </c>
    </row>
    <row r="33" spans="1:4" s="4" customFormat="1" ht="15">
      <c r="A33" s="343" t="s">
        <v>284</v>
      </c>
      <c r="B33" s="321"/>
      <c r="C33" s="494">
        <f>'3. Greenfield Impact'!C81</f>
        <v>5254.154371868493</v>
      </c>
      <c r="D33" s="495">
        <f>'3. Greenfield Impact'!D81</f>
        <v>3677.908060307945</v>
      </c>
    </row>
    <row r="34" spans="1:4" s="4" customFormat="1" ht="15">
      <c r="A34" s="580" t="s">
        <v>75</v>
      </c>
      <c r="B34" s="581"/>
      <c r="C34" s="496">
        <f>'3. Greenfield Impact'!C82</f>
        <v>1016.5384615384615</v>
      </c>
      <c r="D34" s="497">
        <f>'3. Greenfield Impact'!D82</f>
        <v>4463.19987339875</v>
      </c>
    </row>
    <row r="35" spans="1:4" s="4" customFormat="1" ht="15">
      <c r="A35" s="578" t="s">
        <v>88</v>
      </c>
      <c r="B35" s="579"/>
      <c r="C35" s="496">
        <f>'3. Greenfield Impact'!C83</f>
        <v>598.0769230769231</v>
      </c>
      <c r="D35" s="497">
        <f>'3. Greenfield Impact'!D83</f>
        <v>2980.6658653846152</v>
      </c>
    </row>
    <row r="36" spans="1:4" s="4" customFormat="1" ht="15">
      <c r="A36" s="578" t="s">
        <v>103</v>
      </c>
      <c r="B36" s="579"/>
      <c r="C36" s="496">
        <f>'3. Greenfield Impact'!C84</f>
        <v>213.46153846153845</v>
      </c>
      <c r="D36" s="497">
        <f>'3. Greenfield Impact'!D84</f>
        <v>1117.6340080141351</v>
      </c>
    </row>
    <row r="37" spans="1:4" s="4" customFormat="1" ht="15">
      <c r="A37" s="578" t="s">
        <v>90</v>
      </c>
      <c r="B37" s="579"/>
      <c r="C37" s="496">
        <f>'3. Greenfield Impact'!C85</f>
        <v>205</v>
      </c>
      <c r="D37" s="497">
        <f>'3. Greenfield Impact'!D85</f>
        <v>364.9</v>
      </c>
    </row>
    <row r="38" spans="1:4" s="4" customFormat="1" ht="15">
      <c r="A38" s="580" t="s">
        <v>76</v>
      </c>
      <c r="B38" s="581"/>
      <c r="C38" s="496">
        <f>'3. Greenfield Impact'!C86</f>
        <v>502.30769230769226</v>
      </c>
      <c r="D38" s="497">
        <f>'3. Greenfield Impact'!D86</f>
        <v>350.61076923076917</v>
      </c>
    </row>
    <row r="39" spans="1:4" s="4" customFormat="1" ht="15">
      <c r="A39" s="580" t="s">
        <v>28</v>
      </c>
      <c r="B39" s="581"/>
      <c r="C39" s="496">
        <f>'3. Greenfield Impact'!C87</f>
        <v>345.7078241411623</v>
      </c>
      <c r="D39" s="497">
        <f>'3. Greenfield Impact'!D87</f>
        <v>648</v>
      </c>
    </row>
    <row r="40" spans="1:4" s="4" customFormat="1" ht="15">
      <c r="A40" s="604" t="s">
        <v>257</v>
      </c>
      <c r="B40" s="581"/>
      <c r="C40" s="496">
        <f>'3. Greenfield Impact'!C88</f>
        <v>329.4</v>
      </c>
      <c r="D40" s="497" t="str">
        <f>'3. Greenfield Impact'!D88</f>
        <v>--</v>
      </c>
    </row>
    <row r="41" spans="1:4" s="4" customFormat="1" ht="15.75" thickBot="1">
      <c r="A41" s="634" t="s">
        <v>77</v>
      </c>
      <c r="B41" s="635"/>
      <c r="C41" s="498">
        <f>'3. Greenfield Impact'!C89</f>
        <v>1268.8903994845364</v>
      </c>
      <c r="D41" s="499" t="str">
        <f>'3. Greenfield Impact'!D89</f>
        <v>--</v>
      </c>
    </row>
    <row r="42" spans="1:4" s="4" customFormat="1" ht="15.75" thickBot="1">
      <c r="A42" s="602" t="s">
        <v>78</v>
      </c>
      <c r="B42" s="603"/>
      <c r="C42" s="500">
        <f>'3. Greenfield Impact'!C90</f>
        <v>8891.379053168594</v>
      </c>
      <c r="D42" s="501">
        <f>'3. Greenfield Impact'!D90</f>
        <v>9261.784915617236</v>
      </c>
    </row>
    <row r="43" spans="1:5" s="2" customFormat="1" ht="15">
      <c r="A43" s="41"/>
      <c r="B43" s="41"/>
      <c r="C43" s="41"/>
      <c r="D43" s="41"/>
      <c r="E43" s="41"/>
    </row>
    <row r="44" spans="1:5" s="2" customFormat="1" ht="21.75" thickBot="1">
      <c r="A44" s="45" t="s">
        <v>45</v>
      </c>
      <c r="B44" s="41"/>
      <c r="C44" s="41"/>
      <c r="D44" s="41"/>
      <c r="E44" s="41"/>
    </row>
    <row r="45" spans="1:6" ht="21.75" thickBot="1">
      <c r="A45" s="575" t="s">
        <v>104</v>
      </c>
      <c r="B45" s="576"/>
      <c r="C45" s="576"/>
      <c r="D45" s="577"/>
      <c r="E45"/>
      <c r="F45"/>
    </row>
    <row r="46" spans="1:6" ht="15">
      <c r="A46" s="582" t="s">
        <v>26</v>
      </c>
      <c r="B46" s="583"/>
      <c r="C46" s="19" t="s">
        <v>70</v>
      </c>
      <c r="D46" s="17" t="s">
        <v>71</v>
      </c>
      <c r="E46"/>
      <c r="F46"/>
    </row>
    <row r="47" spans="1:6" ht="15.75" thickBot="1">
      <c r="A47" s="584"/>
      <c r="B47" s="585"/>
      <c r="C47" s="74" t="s">
        <v>67</v>
      </c>
      <c r="D47" s="75" t="s">
        <v>72</v>
      </c>
      <c r="E47"/>
      <c r="F47"/>
    </row>
    <row r="48" spans="1:22" ht="15.75" thickBot="1">
      <c r="A48" s="586" t="s">
        <v>73</v>
      </c>
      <c r="B48" s="587"/>
      <c r="C48" s="76">
        <f>C30-C13</f>
        <v>-691.7969922960183</v>
      </c>
      <c r="D48" s="215">
        <f>D30-D13</f>
        <v>-1765.9796638780215</v>
      </c>
      <c r="E48"/>
      <c r="F48"/>
      <c r="V48" s="160"/>
    </row>
    <row r="49" spans="1:22" ht="15">
      <c r="A49" s="320" t="s">
        <v>282</v>
      </c>
      <c r="B49" s="321"/>
      <c r="C49" s="350">
        <f>+(C33-C16)+(C32-C15)</f>
        <v>-208.53609812156216</v>
      </c>
      <c r="D49" s="22">
        <f>+(D33-D16)+(D32-D15)</f>
        <v>-228.73616088197986</v>
      </c>
      <c r="E49"/>
      <c r="F49"/>
      <c r="V49" s="2"/>
    </row>
    <row r="50" spans="1:6" ht="15">
      <c r="A50" s="580" t="s">
        <v>75</v>
      </c>
      <c r="B50" s="581"/>
      <c r="C50" s="76">
        <f>C34-C17</f>
        <v>86.1217948717948</v>
      </c>
      <c r="D50" s="215">
        <f>D34-D17</f>
        <v>422.7025049102349</v>
      </c>
      <c r="E50"/>
      <c r="F50"/>
    </row>
    <row r="51" spans="1:6" ht="15">
      <c r="A51" s="580" t="s">
        <v>76</v>
      </c>
      <c r="B51" s="581"/>
      <c r="C51" s="76">
        <f>C38-C21</f>
        <v>95.22435897435889</v>
      </c>
      <c r="D51" s="215">
        <f>D38-D21</f>
        <v>65.65243589743585</v>
      </c>
      <c r="E51"/>
      <c r="F51"/>
    </row>
    <row r="52" spans="1:6" ht="15">
      <c r="A52" s="580" t="s">
        <v>28</v>
      </c>
      <c r="B52" s="581"/>
      <c r="C52" s="76">
        <f>C39-C22</f>
        <v>166.4309251739694</v>
      </c>
      <c r="D52" s="215">
        <f>D39-D22</f>
        <v>311</v>
      </c>
      <c r="E52"/>
      <c r="F52"/>
    </row>
    <row r="53" spans="1:6" ht="15">
      <c r="A53" s="604" t="s">
        <v>21</v>
      </c>
      <c r="B53" s="581"/>
      <c r="C53" s="76">
        <f>C40-C23</f>
        <v>215.51999999999998</v>
      </c>
      <c r="D53" s="344" t="s">
        <v>264</v>
      </c>
      <c r="E53"/>
      <c r="F53"/>
    </row>
    <row r="54" spans="1:6" ht="15.75" thickBot="1">
      <c r="A54" s="693" t="s">
        <v>77</v>
      </c>
      <c r="B54" s="694"/>
      <c r="C54" s="78">
        <f>C41-C24</f>
        <v>610.8701868556703</v>
      </c>
      <c r="D54" s="345" t="s">
        <v>264</v>
      </c>
      <c r="E54"/>
      <c r="F54"/>
    </row>
    <row r="55" spans="1:6" ht="15.75" thickBot="1">
      <c r="A55" s="702" t="s">
        <v>78</v>
      </c>
      <c r="B55" s="703"/>
      <c r="C55" s="504">
        <f>C42-C25</f>
        <v>151.76796277844005</v>
      </c>
      <c r="D55" s="502">
        <f>D42-D25</f>
        <v>-1195.3608839523313</v>
      </c>
      <c r="E55" s="216"/>
      <c r="F55"/>
    </row>
    <row r="56" spans="1:6" ht="15.75" thickBot="1">
      <c r="A56" s="512"/>
      <c r="B56" s="510"/>
      <c r="C56" s="511"/>
      <c r="D56" s="511"/>
      <c r="E56" s="216"/>
      <c r="F56"/>
    </row>
    <row r="57" spans="1:6" ht="15.75" thickBot="1">
      <c r="A57" s="513" t="s">
        <v>316</v>
      </c>
      <c r="B57" s="510"/>
      <c r="C57" s="42"/>
      <c r="D57" s="42"/>
      <c r="E57" s="216"/>
      <c r="F57"/>
    </row>
    <row r="58" spans="1:5" ht="30">
      <c r="A58" s="696">
        <f>+D55</f>
        <v>-1195.3608839523313</v>
      </c>
      <c r="B58" s="505"/>
      <c r="C58" s="699" t="s">
        <v>315</v>
      </c>
      <c r="D58" s="506">
        <v>9</v>
      </c>
      <c r="E58" s="403" t="s">
        <v>348</v>
      </c>
    </row>
    <row r="59" spans="1:5" ht="15">
      <c r="A59" s="697"/>
      <c r="B59" s="507"/>
      <c r="C59" s="700"/>
      <c r="D59" s="503">
        <f>+D55/D58</f>
        <v>-132.81787599470348</v>
      </c>
      <c r="E59" s="404" t="s">
        <v>309</v>
      </c>
    </row>
    <row r="60" spans="1:5" ht="30.75" thickBot="1">
      <c r="A60" s="698"/>
      <c r="B60" s="508"/>
      <c r="C60" s="701"/>
      <c r="D60" s="509">
        <f>+D59*33.4</f>
        <v>-4436.117058223096</v>
      </c>
      <c r="E60" s="405" t="s">
        <v>353</v>
      </c>
    </row>
    <row r="62" spans="1:4" ht="15">
      <c r="A62" s="347" t="s">
        <v>317</v>
      </c>
      <c r="C62" s="353">
        <f>'2. Brownfield Impact'!C40</f>
        <v>74.1</v>
      </c>
      <c r="D62" s="354">
        <f>'3. Greenfield Impact'!C41</f>
        <v>37.9</v>
      </c>
    </row>
    <row r="63" spans="3:4" ht="15">
      <c r="C63" s="352" t="s">
        <v>155</v>
      </c>
      <c r="D63" s="352" t="s">
        <v>156</v>
      </c>
    </row>
  </sheetData>
  <sheetProtection/>
  <mergeCells count="36">
    <mergeCell ref="A3:D6"/>
    <mergeCell ref="A58:A60"/>
    <mergeCell ref="C58:C60"/>
    <mergeCell ref="A55:B55"/>
    <mergeCell ref="A51:B51"/>
    <mergeCell ref="A52:B52"/>
    <mergeCell ref="A53:B53"/>
    <mergeCell ref="A45:D45"/>
    <mergeCell ref="A46:B47"/>
    <mergeCell ref="A48:B48"/>
    <mergeCell ref="A50:B50"/>
    <mergeCell ref="A37:B37"/>
    <mergeCell ref="A38:B38"/>
    <mergeCell ref="A39:B39"/>
    <mergeCell ref="A40:B40"/>
    <mergeCell ref="A41:B41"/>
    <mergeCell ref="A54:B54"/>
    <mergeCell ref="A13:B13"/>
    <mergeCell ref="A17:B17"/>
    <mergeCell ref="A18:B18"/>
    <mergeCell ref="A23:B23"/>
    <mergeCell ref="A19:B19"/>
    <mergeCell ref="A42:B42"/>
    <mergeCell ref="A30:B30"/>
    <mergeCell ref="A34:B34"/>
    <mergeCell ref="A35:B35"/>
    <mergeCell ref="A10:D10"/>
    <mergeCell ref="A11:B12"/>
    <mergeCell ref="A36:B36"/>
    <mergeCell ref="A20:B20"/>
    <mergeCell ref="A21:B21"/>
    <mergeCell ref="A22:B22"/>
    <mergeCell ref="A27:D27"/>
    <mergeCell ref="A28:B29"/>
    <mergeCell ref="A24:B24"/>
    <mergeCell ref="A25:B25"/>
  </mergeCells>
  <printOptions/>
  <pageMargins left="0.7" right="0.7" top="0.75" bottom="0.75" header="0.3" footer="0.3"/>
  <pageSetup fitToHeight="1" fitToWidth="1" horizontalDpi="600" verticalDpi="600" orientation="portrait" scale="35" r:id="rId1"/>
</worksheet>
</file>

<file path=xl/worksheets/sheet5.xml><?xml version="1.0" encoding="utf-8"?>
<worksheet xmlns="http://schemas.openxmlformats.org/spreadsheetml/2006/main" xmlns:r="http://schemas.openxmlformats.org/officeDocument/2006/relationships">
  <dimension ref="A1:F13"/>
  <sheetViews>
    <sheetView zoomScalePageLayoutView="0" workbookViewId="0" topLeftCell="A1">
      <selection activeCell="H10" sqref="H10"/>
    </sheetView>
  </sheetViews>
  <sheetFormatPr defaultColWidth="8.7109375" defaultRowHeight="15"/>
  <cols>
    <col min="1" max="1" width="17.00390625" style="0" bestFit="1" customWidth="1"/>
    <col min="2" max="2" width="44.140625" style="0" bestFit="1" customWidth="1"/>
    <col min="3" max="3" width="13.7109375" style="0" bestFit="1" customWidth="1"/>
    <col min="4" max="4" width="19.7109375" style="0" bestFit="1" customWidth="1"/>
    <col min="5" max="5" width="13.7109375" style="0" bestFit="1" customWidth="1"/>
    <col min="6" max="6" width="19.7109375" style="0" bestFit="1" customWidth="1"/>
    <col min="7" max="7" width="13.7109375" style="0" bestFit="1" customWidth="1"/>
    <col min="8" max="8" width="19.7109375" style="0" bestFit="1" customWidth="1"/>
  </cols>
  <sheetData>
    <row r="1" ht="15">
      <c r="A1" s="199" t="s">
        <v>91</v>
      </c>
    </row>
    <row r="2" spans="1:2" ht="26.25">
      <c r="A2" s="561" t="s">
        <v>398</v>
      </c>
      <c r="B2" s="561"/>
    </row>
    <row r="3" ht="15.75" thickBot="1"/>
    <row r="4" spans="1:6" ht="15">
      <c r="A4" s="712" t="s">
        <v>26</v>
      </c>
      <c r="B4" s="713"/>
      <c r="C4" s="710" t="s">
        <v>153</v>
      </c>
      <c r="D4" s="710"/>
      <c r="E4" s="710" t="s">
        <v>154</v>
      </c>
      <c r="F4" s="710"/>
    </row>
    <row r="5" spans="1:6" ht="15" customHeight="1" thickBot="1">
      <c r="A5" s="714"/>
      <c r="B5" s="715"/>
      <c r="C5" s="711"/>
      <c r="D5" s="711"/>
      <c r="E5" s="711"/>
      <c r="F5" s="711"/>
    </row>
    <row r="6" spans="1:6" ht="15.75" thickBot="1">
      <c r="A6" s="716"/>
      <c r="B6" s="717"/>
      <c r="C6" s="116" t="s">
        <v>67</v>
      </c>
      <c r="D6" s="117" t="s">
        <v>72</v>
      </c>
      <c r="E6" s="118" t="s">
        <v>67</v>
      </c>
      <c r="F6" s="117" t="s">
        <v>72</v>
      </c>
    </row>
    <row r="7" spans="1:6" ht="15">
      <c r="A7" s="706" t="s">
        <v>99</v>
      </c>
      <c r="B7" s="707"/>
      <c r="C7" s="105">
        <f>'6.Uncertainty'!G18-'6.Uncertainty'!C18</f>
        <v>-174.1000000000127</v>
      </c>
      <c r="D7" s="106">
        <f>'6.Uncertainty'!G32-'6.Uncertainty'!C32</f>
        <v>-444.43248945150924</v>
      </c>
      <c r="E7" s="101">
        <f>'6.Uncertainty'!F18-'6.Uncertainty'!D18</f>
        <v>-2025.8189770468282</v>
      </c>
      <c r="F7" s="115">
        <f>'6.Uncertainty'!F32-'6.Uncertainty'!D32</f>
        <v>-5171.394435077346</v>
      </c>
    </row>
    <row r="8" spans="1:6" ht="15">
      <c r="A8" s="708" t="s">
        <v>100</v>
      </c>
      <c r="B8" s="709"/>
      <c r="C8" s="107">
        <f>'6.Uncertainty'!G19-'6.Uncertainty'!C19</f>
        <v>5924.487179487179</v>
      </c>
      <c r="D8" s="120">
        <f>'6.Uncertainty'!G33-'6.Uncertainty'!C33</f>
        <v>100226.54135727284</v>
      </c>
      <c r="E8" s="102">
        <f>'6.Uncertainty'!F19-'6.Uncertainty'!D19</f>
        <v>-6418.461538461538</v>
      </c>
      <c r="F8" s="108">
        <f>'6.Uncertainty'!F33-'6.Uncertainty'!D33</f>
        <v>-32598.634885940555</v>
      </c>
    </row>
    <row r="9" spans="1:6" ht="15">
      <c r="A9" s="708" t="s">
        <v>76</v>
      </c>
      <c r="B9" s="709"/>
      <c r="C9" s="107">
        <f>'6.Uncertainty'!G23-'6.Uncertainty'!C23</f>
        <v>95.22435897435889</v>
      </c>
      <c r="D9" s="108">
        <f>'6.Uncertainty'!G37-'6.Uncertainty'!C37</f>
        <v>65.65243589743585</v>
      </c>
      <c r="E9" s="102">
        <f>'6.Uncertainty'!F23-'6.Uncertainty'!D23</f>
        <v>95.22435897435889</v>
      </c>
      <c r="F9" s="108">
        <f>'6.Uncertainty'!F37-'6.Uncertainty'!D37</f>
        <v>65.65243589743585</v>
      </c>
    </row>
    <row r="10" spans="1:6" ht="15">
      <c r="A10" s="718" t="s">
        <v>152</v>
      </c>
      <c r="B10" s="99" t="s">
        <v>159</v>
      </c>
      <c r="C10" s="107">
        <f>'6.Uncertainty'!G24-'6.Uncertainty'!C24</f>
        <v>306.3361322121121</v>
      </c>
      <c r="D10" s="183">
        <f>'6.Uncertainty'!G38-'6.Uncertainty'!C38</f>
        <v>311</v>
      </c>
      <c r="E10" s="102">
        <f>'6.Uncertainty'!F24-'6.Uncertainty'!D24</f>
        <v>-40.866118216218695</v>
      </c>
      <c r="F10" s="183">
        <f>'6.Uncertainty'!F38-'6.Uncertainty'!D38</f>
        <v>311</v>
      </c>
    </row>
    <row r="11" spans="1:6" ht="15">
      <c r="A11" s="719"/>
      <c r="B11" s="99" t="s">
        <v>160</v>
      </c>
      <c r="C11" s="107">
        <f>'6.Uncertainty'!G25-'6.Uncertainty'!C25</f>
        <v>845</v>
      </c>
      <c r="D11" s="184"/>
      <c r="E11" s="102">
        <f>'6.Uncertainty'!F25-'6.Uncertainty'!D25</f>
        <v>-360</v>
      </c>
      <c r="F11" s="186"/>
    </row>
    <row r="12" spans="1:6" ht="15.75" thickBot="1">
      <c r="A12" s="720"/>
      <c r="B12" s="100" t="s">
        <v>161</v>
      </c>
      <c r="C12" s="109">
        <f>'6.Uncertainty'!G26-'6.Uncertainty'!C26</f>
        <v>2262.1464750552277</v>
      </c>
      <c r="D12" s="185"/>
      <c r="E12" s="103">
        <f>'6.Uncertainty'!F26-'6.Uncertainty'!D26</f>
        <v>-759.2601389911634</v>
      </c>
      <c r="F12" s="187"/>
    </row>
    <row r="13" spans="1:6" ht="15.75" thickBot="1">
      <c r="A13" s="704" t="s">
        <v>78</v>
      </c>
      <c r="B13" s="705"/>
      <c r="C13" s="110">
        <f>'6.Uncertainty'!G27-'6.Uncertainty'!C27</f>
        <v>9259.094145728866</v>
      </c>
      <c r="D13" s="111">
        <f>'6.Uncertainty'!G39-'6.Uncertainty'!C39</f>
        <v>100158.76130371878</v>
      </c>
      <c r="E13" s="104">
        <f>'6.Uncertainty'!F27-'6.Uncertainty'!D27</f>
        <v>-9509.182413741393</v>
      </c>
      <c r="F13" s="111">
        <f>'6.Uncertainty'!F39-'6.Uncertainty'!D39</f>
        <v>-37393.376885120466</v>
      </c>
    </row>
  </sheetData>
  <sheetProtection/>
  <mergeCells count="9">
    <mergeCell ref="A13:B13"/>
    <mergeCell ref="A7:B7"/>
    <mergeCell ref="A8:B8"/>
    <mergeCell ref="A2:B2"/>
    <mergeCell ref="C4:D5"/>
    <mergeCell ref="E4:F5"/>
    <mergeCell ref="A4:B6"/>
    <mergeCell ref="A9:B9"/>
    <mergeCell ref="A10:A12"/>
  </mergeCells>
  <printOptions/>
  <pageMargins left="0.7" right="0.7" top="0.75" bottom="0.75" header="0.3" footer="0.3"/>
  <pageSetup horizontalDpi="600" verticalDpi="600" orientation="landscape"/>
  <drawing r:id="rId1"/>
</worksheet>
</file>

<file path=xl/worksheets/sheet6.xml><?xml version="1.0" encoding="utf-8"?>
<worksheet xmlns="http://schemas.openxmlformats.org/spreadsheetml/2006/main" xmlns:r="http://schemas.openxmlformats.org/officeDocument/2006/relationships">
  <dimension ref="A1:H39"/>
  <sheetViews>
    <sheetView zoomScale="95" zoomScaleNormal="95" zoomScalePageLayoutView="0" workbookViewId="0" topLeftCell="A16">
      <selection activeCell="E35" sqref="E35"/>
    </sheetView>
  </sheetViews>
  <sheetFormatPr defaultColWidth="8.7109375" defaultRowHeight="15"/>
  <cols>
    <col min="1" max="1" width="44.421875" style="4" bestFit="1" customWidth="1"/>
    <col min="2" max="2" width="18.140625" style="0" bestFit="1" customWidth="1"/>
    <col min="3" max="3" width="11.7109375" style="0" bestFit="1" customWidth="1"/>
    <col min="4" max="4" width="13.421875" style="0" bestFit="1" customWidth="1"/>
    <col min="5" max="5" width="18.140625" style="0" bestFit="1" customWidth="1"/>
    <col min="6" max="6" width="11.7109375" style="0" bestFit="1" customWidth="1"/>
    <col min="7" max="7" width="13.421875" style="0" bestFit="1" customWidth="1"/>
    <col min="8" max="8" width="48.140625" style="0" bestFit="1" customWidth="1"/>
  </cols>
  <sheetData>
    <row r="1" ht="15">
      <c r="A1" s="199" t="s">
        <v>40</v>
      </c>
    </row>
    <row r="3" spans="1:5" ht="21.75" thickBot="1">
      <c r="A3" s="45" t="s">
        <v>327</v>
      </c>
      <c r="B3" s="88"/>
      <c r="C3" s="88"/>
      <c r="D3" s="88"/>
      <c r="E3" s="88"/>
    </row>
    <row r="4" spans="1:5" ht="15.75" thickBot="1">
      <c r="A4" s="168" t="s">
        <v>114</v>
      </c>
      <c r="B4" s="169" t="s">
        <v>112</v>
      </c>
      <c r="C4" s="170" t="s">
        <v>201</v>
      </c>
      <c r="D4" s="171" t="s">
        <v>105</v>
      </c>
      <c r="E4" s="178" t="s">
        <v>25</v>
      </c>
    </row>
    <row r="5" spans="1:5" ht="15">
      <c r="A5" s="166" t="s">
        <v>106</v>
      </c>
      <c r="B5" s="167">
        <v>190000</v>
      </c>
      <c r="C5" s="97">
        <v>24000</v>
      </c>
      <c r="D5" s="172">
        <v>550000</v>
      </c>
      <c r="E5" s="179" t="s">
        <v>63</v>
      </c>
    </row>
    <row r="6" spans="1:5" ht="15">
      <c r="A6" s="130" t="s">
        <v>107</v>
      </c>
      <c r="B6" s="163">
        <v>0.05</v>
      </c>
      <c r="C6" s="89">
        <v>0</v>
      </c>
      <c r="D6" s="173">
        <v>0.1</v>
      </c>
      <c r="E6" s="180"/>
    </row>
    <row r="7" spans="1:5" ht="15">
      <c r="A7" s="130" t="s">
        <v>132</v>
      </c>
      <c r="B7" s="162">
        <v>21</v>
      </c>
      <c r="C7" s="92">
        <v>12</v>
      </c>
      <c r="D7" s="174">
        <v>100</v>
      </c>
      <c r="E7" s="180" t="s">
        <v>59</v>
      </c>
    </row>
    <row r="8" spans="1:5" ht="15">
      <c r="A8" s="130" t="s">
        <v>108</v>
      </c>
      <c r="B8" s="162">
        <v>15.5</v>
      </c>
      <c r="C8" s="89">
        <v>8.25</v>
      </c>
      <c r="D8" s="175">
        <v>30</v>
      </c>
      <c r="E8" s="180" t="s">
        <v>126</v>
      </c>
    </row>
    <row r="9" spans="1:5" ht="15">
      <c r="A9" s="130" t="s">
        <v>109</v>
      </c>
      <c r="B9" s="164">
        <v>2.8</v>
      </c>
      <c r="C9" s="91">
        <v>1.741</v>
      </c>
      <c r="D9" s="176">
        <v>4.142</v>
      </c>
      <c r="E9" s="180" t="s">
        <v>111</v>
      </c>
    </row>
    <row r="10" spans="1:5" ht="15">
      <c r="A10" s="130" t="s">
        <v>110</v>
      </c>
      <c r="B10" s="163">
        <v>0.51</v>
      </c>
      <c r="C10" s="90">
        <v>0.31</v>
      </c>
      <c r="D10" s="173">
        <v>0.71</v>
      </c>
      <c r="E10" s="180"/>
    </row>
    <row r="11" spans="1:5" ht="15">
      <c r="A11" s="130" t="s">
        <v>118</v>
      </c>
      <c r="B11" s="162">
        <f>'2. Brownfield Impact'!D33</f>
        <v>1249</v>
      </c>
      <c r="C11" s="92">
        <f>'2. Brownfield Impact'!E33</f>
        <v>70</v>
      </c>
      <c r="D11" s="174">
        <f>'2. Brownfield Impact'!F33</f>
        <v>9736</v>
      </c>
      <c r="E11" s="181" t="s">
        <v>115</v>
      </c>
    </row>
    <row r="12" spans="1:5" ht="15">
      <c r="A12" s="130" t="s">
        <v>119</v>
      </c>
      <c r="B12" s="162">
        <f>'2. Brownfield Impact'!D34</f>
        <v>498</v>
      </c>
      <c r="C12" s="92">
        <f>'2. Brownfield Impact'!E34</f>
        <v>12</v>
      </c>
      <c r="D12" s="174">
        <f>'2. Brownfield Impact'!F34</f>
        <v>5750</v>
      </c>
      <c r="E12" s="181" t="s">
        <v>115</v>
      </c>
    </row>
    <row r="13" spans="1:5" ht="15">
      <c r="A13" s="130" t="s">
        <v>120</v>
      </c>
      <c r="B13" s="162">
        <f>'3. Greenfield Impact'!C34</f>
        <v>1555</v>
      </c>
      <c r="C13" s="89">
        <f>'3. Greenfield Impact'!E34</f>
        <v>70</v>
      </c>
      <c r="D13" s="175">
        <f>'3. Greenfield Impact'!F34</f>
        <v>9736</v>
      </c>
      <c r="E13" s="181" t="s">
        <v>115</v>
      </c>
    </row>
    <row r="14" spans="1:5" ht="15.75" thickBot="1">
      <c r="A14" s="145" t="s">
        <v>121</v>
      </c>
      <c r="B14" s="165">
        <f>'3. Greenfield Impact'!C35</f>
        <v>555</v>
      </c>
      <c r="C14" s="161">
        <f>'3. Greenfield Impact'!E35</f>
        <v>12</v>
      </c>
      <c r="D14" s="177">
        <f>'3. Greenfield Impact'!F35</f>
        <v>5750</v>
      </c>
      <c r="E14" s="182" t="s">
        <v>115</v>
      </c>
    </row>
    <row r="15" ht="15.75" thickBot="1">
      <c r="A15" s="96"/>
    </row>
    <row r="16" spans="1:7" ht="18.75">
      <c r="A16" s="147" t="s">
        <v>157</v>
      </c>
      <c r="B16" s="721" t="s">
        <v>155</v>
      </c>
      <c r="C16" s="721"/>
      <c r="D16" s="721"/>
      <c r="E16" s="722" t="s">
        <v>156</v>
      </c>
      <c r="F16" s="721"/>
      <c r="G16" s="721"/>
    </row>
    <row r="17" spans="1:7" ht="15.75" thickBot="1">
      <c r="A17" s="151" t="s">
        <v>158</v>
      </c>
      <c r="B17" s="153" t="s">
        <v>112</v>
      </c>
      <c r="C17" s="154" t="s">
        <v>201</v>
      </c>
      <c r="D17" s="155" t="s">
        <v>105</v>
      </c>
      <c r="E17" s="153" t="s">
        <v>112</v>
      </c>
      <c r="F17" s="154" t="s">
        <v>201</v>
      </c>
      <c r="G17" s="155" t="s">
        <v>105</v>
      </c>
    </row>
    <row r="18" spans="1:7" ht="15">
      <c r="A18" s="129" t="s">
        <v>99</v>
      </c>
      <c r="B18" s="137">
        <f>'2. Brownfield Impact'!E77</f>
        <v>535.3191011814428</v>
      </c>
      <c r="C18" s="125">
        <f>-PMT(C9,'2. Brownfield Impact'!D28,'6.Uncertainty'!C5/'2. Brownfield Impact'!D25/'6.Uncertainty'!D7)</f>
        <v>174.1000000000127</v>
      </c>
      <c r="D18" s="126">
        <f>-PMT(D6,'2. Brownfield Impact'!D28,D5/C7/'2. Brownfield Impact'!D25)</f>
        <v>2025.8189770468282</v>
      </c>
      <c r="E18" s="134">
        <f>'3. Greenfield Impact'!C78</f>
        <v>0</v>
      </c>
      <c r="F18" s="125">
        <v>0</v>
      </c>
      <c r="G18" s="126">
        <v>0</v>
      </c>
    </row>
    <row r="19" spans="1:7" ht="15">
      <c r="A19" s="130" t="s">
        <v>113</v>
      </c>
      <c r="B19" s="107">
        <f>'2. Brownfield Impact'!E81</f>
        <v>930.4166666666667</v>
      </c>
      <c r="C19" s="93">
        <f>C20+C21+C22</f>
        <v>236.66666666666669</v>
      </c>
      <c r="D19" s="108">
        <f>D20+D21+D22</f>
        <v>6655</v>
      </c>
      <c r="E19" s="135">
        <f>'3. Greenfield Impact'!C82</f>
        <v>1016.5384615384615</v>
      </c>
      <c r="F19" s="93">
        <f>F20+F21+F22</f>
        <v>236.53846153846155</v>
      </c>
      <c r="G19" s="108">
        <f>G20+G21+G22</f>
        <v>6161.153846153846</v>
      </c>
    </row>
    <row r="20" spans="1:7" ht="15">
      <c r="A20" s="131" t="s">
        <v>88</v>
      </c>
      <c r="B20" s="138">
        <f>'2. Brownfield Impact'!E82</f>
        <v>520.4166666666667</v>
      </c>
      <c r="C20" s="94">
        <f>C11/'2. Brownfield Impact'!D25</f>
        <v>29.166666666666668</v>
      </c>
      <c r="D20" s="121">
        <f>D11/'2. Brownfield Impact'!D25</f>
        <v>4056.666666666667</v>
      </c>
      <c r="E20" s="136">
        <f>'3. Greenfield Impact'!C83</f>
        <v>598.0769230769231</v>
      </c>
      <c r="F20" s="94">
        <f>C13/'3. Greenfield Impact'!D27</f>
        <v>26.923076923076923</v>
      </c>
      <c r="G20" s="121">
        <f>D13/'3. Greenfield Impact'!D27</f>
        <v>3744.6153846153843</v>
      </c>
    </row>
    <row r="21" spans="1:7" ht="15">
      <c r="A21" s="131" t="s">
        <v>103</v>
      </c>
      <c r="B21" s="138">
        <f>'2. Brownfield Impact'!E83</f>
        <v>207.5</v>
      </c>
      <c r="C21" s="94">
        <f>C12/'2. Brownfield Impact'!D25</f>
        <v>5</v>
      </c>
      <c r="D21" s="121">
        <f>D12/'2. Brownfield Impact'!D25</f>
        <v>2395.8333333333335</v>
      </c>
      <c r="E21" s="136">
        <f>'3. Greenfield Impact'!C84</f>
        <v>213.46153846153845</v>
      </c>
      <c r="F21" s="94">
        <f>C14/'3. Greenfield Impact'!D27</f>
        <v>4.615384615384615</v>
      </c>
      <c r="G21" s="121">
        <f>D14/'3. Greenfield Impact'!D27</f>
        <v>2211.5384615384614</v>
      </c>
    </row>
    <row r="22" spans="1:7" ht="15">
      <c r="A22" s="132" t="s">
        <v>90</v>
      </c>
      <c r="B22" s="107">
        <f>'2. Brownfield Impact'!E84</f>
        <v>202.5</v>
      </c>
      <c r="C22" s="93">
        <f>B22</f>
        <v>202.5</v>
      </c>
      <c r="D22" s="108">
        <f>B22</f>
        <v>202.5</v>
      </c>
      <c r="E22" s="135">
        <f>'3. Greenfield Impact'!C85</f>
        <v>205</v>
      </c>
      <c r="F22" s="93">
        <f>E22</f>
        <v>205</v>
      </c>
      <c r="G22" s="108">
        <f>E22</f>
        <v>205</v>
      </c>
    </row>
    <row r="23" spans="1:7" ht="15">
      <c r="A23" s="81" t="s">
        <v>76</v>
      </c>
      <c r="B23" s="107">
        <f>'2. Brownfield Impact'!E85</f>
        <v>407.08333333333337</v>
      </c>
      <c r="C23" s="93">
        <f>B23</f>
        <v>407.08333333333337</v>
      </c>
      <c r="D23" s="108">
        <f>B23</f>
        <v>407.08333333333337</v>
      </c>
      <c r="E23" s="135">
        <f>'3. Greenfield Impact'!C86</f>
        <v>502.30769230769226</v>
      </c>
      <c r="F23" s="93">
        <f>E23</f>
        <v>502.30769230769226</v>
      </c>
      <c r="G23" s="108">
        <f>E23</f>
        <v>502.30769230769226</v>
      </c>
    </row>
    <row r="24" spans="1:7" ht="15">
      <c r="A24" s="133" t="s">
        <v>28</v>
      </c>
      <c r="B24" s="138">
        <f>'2. Brownfield Impact'!E86</f>
        <v>179.2768989671929</v>
      </c>
      <c r="C24" s="94">
        <f>C9*'2. Brownfield Impact'!D37/'2. Brownfield Impact'!C61*('2. Brownfield Impact'!C62*'6.Uncertainty'!D10+'2. Brownfield Impact'!C63*(1-'6.Uncertainty'!D10))</f>
        <v>83.69715687659055</v>
      </c>
      <c r="D24" s="121">
        <f>D9*'2. Brownfield Impact'!D37/'2. Brownfield Impact'!C61*('2. Brownfield Impact'!C62*'6.Uncertainty'!C10+(1-'6.Uncertainty'!C10)*'2. Brownfield Impact'!C63)</f>
        <v>202.2631646694966</v>
      </c>
      <c r="E24" s="136">
        <f>'3. Greenfield Impact'!C87</f>
        <v>345.7078241411623</v>
      </c>
      <c r="F24" s="94">
        <f>'3. Greenfield Impact'!D38/'3. Greenfield Impact'!C62*'6.Uncertainty'!C9*('6.Uncertainty'!D10*'3. Greenfield Impact'!C63+(1-'6.Uncertainty'!D10)*'3. Greenfield Impact'!C64)</f>
        <v>161.3970464532779</v>
      </c>
      <c r="G24" s="121">
        <f>'3. Greenfield Impact'!D38/'3. Greenfield Impact'!C62*'6.Uncertainty'!D9*('6.Uncertainty'!C10*'3. Greenfield Impact'!C63+(1-'6.Uncertainty'!C10)*'2. Brownfield Impact'!C63)</f>
        <v>390.03328908870265</v>
      </c>
    </row>
    <row r="25" spans="1:8" ht="15">
      <c r="A25" s="133" t="s">
        <v>117</v>
      </c>
      <c r="B25" s="142">
        <f>'2. Brownfield Impact'!E87</f>
        <v>113.88</v>
      </c>
      <c r="C25" s="143">
        <v>5</v>
      </c>
      <c r="D25" s="144">
        <v>370</v>
      </c>
      <c r="E25" s="136">
        <f>'3. Greenfield Impact'!C88</f>
        <v>329.4</v>
      </c>
      <c r="F25" s="94">
        <v>10</v>
      </c>
      <c r="G25" s="121">
        <v>850</v>
      </c>
      <c r="H25" t="s">
        <v>122</v>
      </c>
    </row>
    <row r="26" spans="1:7" ht="15.75" thickBot="1">
      <c r="A26" s="140" t="s">
        <v>77</v>
      </c>
      <c r="B26" s="139">
        <f>'2. Brownfield Impact'!E88</f>
        <v>658.020212628866</v>
      </c>
      <c r="C26" s="127">
        <f>C8*('2. Brownfield Impact'!D37*'6.Uncertainty'!D10/'2. Brownfield Impact'!C64+'2. Brownfield Impact'!C37*(1-'6.Uncertainty'!D10)/'2. Brownfield Impact'!C65)</f>
        <v>293.5536354013255</v>
      </c>
      <c r="D26" s="128">
        <f>D8*('2. Brownfield Impact'!D37*C10/'2. Brownfield Impact'!C64+'2. Brownfield Impact'!D37*(1-'6.Uncertainty'!C10)/'2. Brownfield Impact'!C65)</f>
        <v>1325.3330081001473</v>
      </c>
      <c r="E26" s="141">
        <f>'3. Greenfield Impact'!C89</f>
        <v>1268.8903994845364</v>
      </c>
      <c r="F26" s="127">
        <f>C8*'3. Greenfield Impact'!D38*('6.Uncertainty'!D10/'3. Greenfield Impact'!C65+(1-'6.Uncertainty'!D10)/'3. Greenfield Impact'!C66)</f>
        <v>566.0728691089838</v>
      </c>
      <c r="G26" s="128">
        <f>D8*'3. Greenfield Impact'!D38*('6.Uncertainty'!C10/'3. Greenfield Impact'!C65+(1-'6.Uncertainty'!C10)/'3. Greenfield Impact'!C66)</f>
        <v>2555.7001104565534</v>
      </c>
    </row>
    <row r="27" spans="1:7" ht="15.75" thickBot="1">
      <c r="A27" s="69" t="s">
        <v>78</v>
      </c>
      <c r="B27" s="150">
        <f>'2. Brownfield Impact'!E89</f>
        <v>8567.947581150534</v>
      </c>
      <c r="C27" s="123">
        <f>SUM(C18:C19,C23:C26)</f>
        <v>1200.1007922779288</v>
      </c>
      <c r="D27" s="124">
        <f>SUM(D18:D19,D23:D26)</f>
        <v>10985.498483149808</v>
      </c>
      <c r="E27" s="152">
        <f>'3. Greenfield Impact'!C90</f>
        <v>8891.379053168594</v>
      </c>
      <c r="F27" s="123">
        <f>SUM(F18:F19,F23:F26)</f>
        <v>1476.3160694084154</v>
      </c>
      <c r="G27" s="124">
        <f>SUM(G18:G19,G23:G26)</f>
        <v>10459.194938006794</v>
      </c>
    </row>
    <row r="28" spans="1:7" ht="15">
      <c r="A28" s="156"/>
      <c r="B28" s="157"/>
      <c r="C28" s="157"/>
      <c r="D28" s="157"/>
      <c r="E28" s="158"/>
      <c r="F28" s="157"/>
      <c r="G28" s="157"/>
    </row>
    <row r="29" spans="1:7" ht="15.75" thickBot="1">
      <c r="A29" s="159"/>
      <c r="B29" s="160"/>
      <c r="C29" s="160"/>
      <c r="D29" s="160"/>
      <c r="E29" s="160"/>
      <c r="F29" s="160"/>
      <c r="G29" s="160"/>
    </row>
    <row r="30" spans="1:7" ht="18.75">
      <c r="A30" s="147" t="s">
        <v>162</v>
      </c>
      <c r="B30" s="721" t="s">
        <v>155</v>
      </c>
      <c r="C30" s="721"/>
      <c r="D30" s="721"/>
      <c r="E30" s="722" t="s">
        <v>156</v>
      </c>
      <c r="F30" s="721"/>
      <c r="G30" s="721"/>
    </row>
    <row r="31" spans="1:7" ht="15.75" thickBot="1">
      <c r="A31" s="148" t="s">
        <v>116</v>
      </c>
      <c r="B31" s="112" t="s">
        <v>112</v>
      </c>
      <c r="C31" s="122" t="s">
        <v>201</v>
      </c>
      <c r="D31" s="113" t="s">
        <v>105</v>
      </c>
      <c r="E31" s="114" t="s">
        <v>112</v>
      </c>
      <c r="F31" s="122" t="s">
        <v>201</v>
      </c>
      <c r="G31" s="113" t="s">
        <v>105</v>
      </c>
    </row>
    <row r="32" spans="1:7" ht="15">
      <c r="A32" s="129" t="s">
        <v>99</v>
      </c>
      <c r="B32" s="137">
        <f>'2. Brownfield Impact'!F77</f>
        <v>1366.5318827627548</v>
      </c>
      <c r="C32" s="125">
        <f>C18*'2. Brownfield Impact'!C50</f>
        <v>444.43248945150924</v>
      </c>
      <c r="D32" s="126">
        <f>D18*'2. Brownfield Impact'!C50</f>
        <v>5171.394435077346</v>
      </c>
      <c r="E32" s="134">
        <f>'3. Greenfield Impact'!F78</f>
        <v>0</v>
      </c>
      <c r="F32" s="125">
        <f>F18*'2. Brownfield Impact'!C83</f>
        <v>0</v>
      </c>
      <c r="G32" s="126">
        <f>G18*'2. Brownfield Impact'!C83</f>
        <v>0</v>
      </c>
    </row>
    <row r="33" spans="1:7" ht="15">
      <c r="A33" s="130" t="s">
        <v>113</v>
      </c>
      <c r="B33" s="107">
        <f>'2. Brownfield Impact'!F81</f>
        <v>4040.4973684885153</v>
      </c>
      <c r="C33" s="93">
        <f>C34+C35+C36</f>
        <v>531.9881896021329</v>
      </c>
      <c r="D33" s="108">
        <f>D34+D35+D36</f>
        <v>33121.87783018868</v>
      </c>
      <c r="E33" s="135">
        <f>'3. Greenfield Impact'!F82</f>
        <v>4463.19987339875</v>
      </c>
      <c r="F33" s="93">
        <f>F34+F35+F36</f>
        <v>523.2429442481226</v>
      </c>
      <c r="G33" s="108">
        <f>D34*'3. Greenfield Impact'!C55</f>
        <v>100758.52954687498</v>
      </c>
    </row>
    <row r="34" spans="1:7" ht="15">
      <c r="A34" s="131" t="s">
        <v>88</v>
      </c>
      <c r="B34" s="138">
        <f>'2. Brownfield Impact'!F82</f>
        <v>2593.6265625</v>
      </c>
      <c r="C34" s="94">
        <f>C20*'2. Brownfield Impact'!C54</f>
        <v>145.359375</v>
      </c>
      <c r="D34" s="121">
        <f>D20*'2. Brownfield Impact'!C54</f>
        <v>20217.4125</v>
      </c>
      <c r="E34" s="136">
        <f>'3. Greenfield Impact'!F83</f>
        <v>2980.6658653846152</v>
      </c>
      <c r="F34" s="94">
        <f>F20*'3. Greenfield Impact'!C55</f>
        <v>134.1778846153846</v>
      </c>
      <c r="G34" s="121">
        <f>G20*'3. Greenfield Impact'!C55</f>
        <v>18662.22692307692</v>
      </c>
    </row>
    <row r="35" spans="1:7" ht="15">
      <c r="A35" s="131" t="s">
        <v>103</v>
      </c>
      <c r="B35" s="138">
        <f>'2. Brownfield Impact'!F83</f>
        <v>1086.4208059885152</v>
      </c>
      <c r="C35" s="94">
        <f>C21*'2. Brownfield Impact'!C56</f>
        <v>26.1788146021329</v>
      </c>
      <c r="D35" s="121">
        <f>D21*'2. Brownfield Impact'!C56</f>
        <v>12544.01533018868</v>
      </c>
      <c r="E35" s="136">
        <f>'3. Greenfield Impact'!F84</f>
        <v>1117.6340080141351</v>
      </c>
      <c r="F35" s="94">
        <f>F21*'3. Greenfield Impact'!C57</f>
        <v>24.165059632738057</v>
      </c>
      <c r="G35" s="121">
        <f>G21*'3. Greenfield Impact'!C57</f>
        <v>11579.09107402032</v>
      </c>
    </row>
    <row r="36" spans="1:7" ht="15">
      <c r="A36" s="132" t="s">
        <v>90</v>
      </c>
      <c r="B36" s="107">
        <f>'2. Brownfield Impact'!F84</f>
        <v>360.45</v>
      </c>
      <c r="C36" s="93">
        <f>B36</f>
        <v>360.45</v>
      </c>
      <c r="D36" s="108">
        <f>B36</f>
        <v>360.45</v>
      </c>
      <c r="E36" s="135">
        <f>'3. Greenfield Impact'!F85</f>
        <v>364.9</v>
      </c>
      <c r="F36" s="93">
        <f>E36</f>
        <v>364.9</v>
      </c>
      <c r="G36" s="108">
        <f>E36</f>
        <v>364.9</v>
      </c>
    </row>
    <row r="37" spans="1:7" ht="15">
      <c r="A37" s="81" t="s">
        <v>76</v>
      </c>
      <c r="B37" s="107">
        <f>'2. Brownfield Impact'!F85</f>
        <v>284.9583333333333</v>
      </c>
      <c r="C37" s="93">
        <f>B37</f>
        <v>284.9583333333333</v>
      </c>
      <c r="D37" s="108">
        <f>B37</f>
        <v>284.9583333333333</v>
      </c>
      <c r="E37" s="135">
        <f>'3. Greenfield Impact'!F86</f>
        <v>350.61076923076917</v>
      </c>
      <c r="F37" s="93">
        <f>E37</f>
        <v>350.61076923076917</v>
      </c>
      <c r="G37" s="108">
        <f>E37</f>
        <v>350.61076923076917</v>
      </c>
    </row>
    <row r="38" spans="1:7" ht="15.75" thickBot="1">
      <c r="A38" s="145" t="s">
        <v>28</v>
      </c>
      <c r="B38" s="109">
        <f>'2. Brownfield Impact'!F86</f>
        <v>337</v>
      </c>
      <c r="C38" s="98">
        <f>B38</f>
        <v>337</v>
      </c>
      <c r="D38" s="119">
        <f>B38</f>
        <v>337</v>
      </c>
      <c r="E38" s="146">
        <f>'3. Greenfield Impact'!F87</f>
        <v>648</v>
      </c>
      <c r="F38" s="98">
        <f>E38</f>
        <v>648</v>
      </c>
      <c r="G38" s="119">
        <f>E38</f>
        <v>648</v>
      </c>
    </row>
    <row r="39" spans="1:7" ht="15.75" thickBot="1">
      <c r="A39" s="69" t="s">
        <v>78</v>
      </c>
      <c r="B39" s="150">
        <f>SUM(B32:B33,B37:B38)</f>
        <v>6028.987584584603</v>
      </c>
      <c r="C39" s="123">
        <f>SUM(C32:C33,C37:C38)</f>
        <v>1598.3790123869755</v>
      </c>
      <c r="D39" s="124">
        <f>SUM(D32:D33,D37:D38)</f>
        <v>38915.23059859936</v>
      </c>
      <c r="E39" s="149">
        <f>'3. Greenfield Impact'!F90</f>
        <v>9261.784915617236</v>
      </c>
      <c r="F39" s="123">
        <f>SUM(F32:F33,F37:F38)</f>
        <v>1521.8537134788917</v>
      </c>
      <c r="G39" s="124">
        <f>SUM(G32:G33,G37:G38)</f>
        <v>101757.14031610575</v>
      </c>
    </row>
  </sheetData>
  <sheetProtection/>
  <mergeCells count="4">
    <mergeCell ref="B16:D16"/>
    <mergeCell ref="E16:G16"/>
    <mergeCell ref="B30:D30"/>
    <mergeCell ref="E30:G30"/>
  </mergeCells>
  <printOptions/>
  <pageMargins left="0.7" right="0.7" top="0.75" bottom="0.75" header="0.3" footer="0.3"/>
  <pageSetup horizontalDpi="600" verticalDpi="600" orientation="landscape"/>
  <drawing r:id="rId1"/>
</worksheet>
</file>

<file path=xl/worksheets/sheet7.xml><?xml version="1.0" encoding="utf-8"?>
<worksheet xmlns="http://schemas.openxmlformats.org/spreadsheetml/2006/main" xmlns:r="http://schemas.openxmlformats.org/officeDocument/2006/relationships">
  <dimension ref="A1:IV60"/>
  <sheetViews>
    <sheetView zoomScalePageLayoutView="0" workbookViewId="0" topLeftCell="A22">
      <selection activeCell="D32" sqref="D32"/>
    </sheetView>
  </sheetViews>
  <sheetFormatPr defaultColWidth="8.7109375" defaultRowHeight="15"/>
  <cols>
    <col min="1" max="1" width="19.421875" style="229" bestFit="1" customWidth="1"/>
    <col min="2" max="2" width="36.7109375" style="49" bestFit="1" customWidth="1"/>
    <col min="3" max="3" width="60.421875" style="49" bestFit="1" customWidth="1"/>
    <col min="4" max="4" width="50.140625" style="49" customWidth="1"/>
    <col min="5" max="5" width="67.140625" style="49" customWidth="1"/>
    <col min="6" max="6" width="24.28125" style="49" customWidth="1"/>
    <col min="7" max="7" width="25.421875" style="49" customWidth="1"/>
    <col min="8" max="8" width="12.00390625" style="49" bestFit="1" customWidth="1"/>
    <col min="9" max="9" width="62.28125" style="49" bestFit="1" customWidth="1"/>
    <col min="10" max="16384" width="8.7109375" style="49" customWidth="1"/>
  </cols>
  <sheetData>
    <row r="1" spans="1:3" ht="26.25">
      <c r="A1" s="753" t="s">
        <v>400</v>
      </c>
      <c r="B1" s="753"/>
      <c r="C1" s="198"/>
    </row>
    <row r="2" spans="1:3" ht="15.75" customHeight="1" thickBot="1">
      <c r="A2" s="754" t="s">
        <v>320</v>
      </c>
      <c r="B2" s="754"/>
      <c r="C2" s="754"/>
    </row>
    <row r="3" spans="1:6" s="50" customFormat="1" ht="15.75" thickBot="1">
      <c r="A3" s="758" t="s">
        <v>85</v>
      </c>
      <c r="B3" s="759"/>
      <c r="C3" s="759"/>
      <c r="D3" s="759"/>
      <c r="E3" s="760"/>
      <c r="F3" s="201"/>
    </row>
    <row r="4" spans="1:6" s="50" customFormat="1" ht="15.75" thickBot="1">
      <c r="A4" s="723" t="s">
        <v>229</v>
      </c>
      <c r="B4" s="724"/>
      <c r="C4" s="225" t="s">
        <v>82</v>
      </c>
      <c r="D4" s="193" t="s">
        <v>214</v>
      </c>
      <c r="E4" s="194" t="s">
        <v>230</v>
      </c>
      <c r="F4" s="202"/>
    </row>
    <row r="5" spans="1:6" ht="60" customHeight="1">
      <c r="A5" s="738" t="s">
        <v>98</v>
      </c>
      <c r="B5" s="411" t="s">
        <v>202</v>
      </c>
      <c r="C5" s="412" t="s">
        <v>84</v>
      </c>
      <c r="D5" s="415" t="s">
        <v>231</v>
      </c>
      <c r="E5" s="417" t="s">
        <v>273</v>
      </c>
      <c r="F5" s="48"/>
    </row>
    <row r="6" spans="1:6" ht="75">
      <c r="A6" s="739"/>
      <c r="B6" s="413" t="s">
        <v>203</v>
      </c>
      <c r="C6" s="414" t="s">
        <v>269</v>
      </c>
      <c r="D6" s="416" t="s">
        <v>270</v>
      </c>
      <c r="E6" s="418" t="s">
        <v>274</v>
      </c>
      <c r="F6" s="48"/>
    </row>
    <row r="7" spans="1:6" ht="75">
      <c r="A7" s="739"/>
      <c r="B7" s="419" t="s">
        <v>205</v>
      </c>
      <c r="C7" s="414" t="s">
        <v>38</v>
      </c>
      <c r="D7" s="416" t="s">
        <v>358</v>
      </c>
      <c r="E7" s="420" t="s">
        <v>359</v>
      </c>
      <c r="F7" s="48"/>
    </row>
    <row r="8" spans="1:6" ht="15">
      <c r="A8" s="739"/>
      <c r="B8" s="419" t="s">
        <v>204</v>
      </c>
      <c r="C8" s="414" t="s">
        <v>39</v>
      </c>
      <c r="D8" s="416" t="s">
        <v>35</v>
      </c>
      <c r="E8" s="421" t="s">
        <v>242</v>
      </c>
      <c r="F8" s="48"/>
    </row>
    <row r="9" spans="1:6" ht="45">
      <c r="A9" s="739"/>
      <c r="B9" s="413" t="s">
        <v>266</v>
      </c>
      <c r="C9" s="414" t="s">
        <v>36</v>
      </c>
      <c r="D9" s="422" t="s">
        <v>323</v>
      </c>
      <c r="E9" s="422" t="s">
        <v>323</v>
      </c>
      <c r="F9" s="355"/>
    </row>
    <row r="10" spans="1:6" s="48" customFormat="1" ht="71.25" customHeight="1" thickBot="1">
      <c r="A10" s="740"/>
      <c r="B10" s="423" t="s">
        <v>321</v>
      </c>
      <c r="C10" s="424" t="s">
        <v>14</v>
      </c>
      <c r="D10" s="425" t="s">
        <v>16</v>
      </c>
      <c r="E10" s="426" t="s">
        <v>360</v>
      </c>
      <c r="F10" s="220"/>
    </row>
    <row r="11" spans="1:7" ht="30">
      <c r="A11" s="738" t="s">
        <v>99</v>
      </c>
      <c r="B11" s="411" t="s">
        <v>206</v>
      </c>
      <c r="C11" s="412" t="s">
        <v>86</v>
      </c>
      <c r="D11" s="427" t="s">
        <v>37</v>
      </c>
      <c r="E11" s="428" t="s">
        <v>361</v>
      </c>
      <c r="F11" s="220"/>
      <c r="G11" s="356"/>
    </row>
    <row r="12" spans="1:6" ht="30">
      <c r="A12" s="739"/>
      <c r="B12" s="413" t="s">
        <v>64</v>
      </c>
      <c r="C12" s="414" t="s">
        <v>87</v>
      </c>
      <c r="D12" s="416" t="s">
        <v>362</v>
      </c>
      <c r="E12" s="429" t="s">
        <v>252</v>
      </c>
      <c r="F12" s="48"/>
    </row>
    <row r="13" spans="1:6" ht="60.75" thickBot="1">
      <c r="A13" s="740"/>
      <c r="B13" s="423" t="s">
        <v>207</v>
      </c>
      <c r="C13" s="424" t="s">
        <v>92</v>
      </c>
      <c r="D13" s="425" t="s">
        <v>251</v>
      </c>
      <c r="E13" s="430" t="s">
        <v>253</v>
      </c>
      <c r="F13" s="48"/>
    </row>
    <row r="14" spans="1:6" ht="75.75" thickBot="1">
      <c r="A14" s="738" t="s">
        <v>113</v>
      </c>
      <c r="B14" s="431" t="s">
        <v>208</v>
      </c>
      <c r="C14" s="412" t="s">
        <v>145</v>
      </c>
      <c r="D14" s="427" t="s">
        <v>37</v>
      </c>
      <c r="E14" s="432" t="s">
        <v>401</v>
      </c>
      <c r="F14" s="48"/>
    </row>
    <row r="15" spans="1:6" ht="75.75" thickBot="1">
      <c r="A15" s="739"/>
      <c r="B15" s="433" t="s">
        <v>209</v>
      </c>
      <c r="C15" s="414" t="s">
        <v>193</v>
      </c>
      <c r="D15" s="416" t="s">
        <v>37</v>
      </c>
      <c r="E15" s="432" t="s">
        <v>401</v>
      </c>
      <c r="F15" s="48"/>
    </row>
    <row r="16" spans="1:6" ht="75">
      <c r="A16" s="739"/>
      <c r="B16" s="434" t="s">
        <v>210</v>
      </c>
      <c r="C16" s="414" t="s">
        <v>34</v>
      </c>
      <c r="D16" s="416" t="s">
        <v>37</v>
      </c>
      <c r="E16" s="432" t="s">
        <v>401</v>
      </c>
      <c r="F16" s="48"/>
    </row>
    <row r="17" spans="1:6" ht="30.75" thickBot="1">
      <c r="A17" s="740"/>
      <c r="B17" s="436" t="s">
        <v>211</v>
      </c>
      <c r="C17" s="424" t="s">
        <v>32</v>
      </c>
      <c r="D17" s="437" t="s">
        <v>33</v>
      </c>
      <c r="E17" s="438" t="s">
        <v>33</v>
      </c>
      <c r="F17" s="48"/>
    </row>
    <row r="18" spans="1:6" ht="75.75" thickBot="1">
      <c r="A18" s="228" t="s">
        <v>76</v>
      </c>
      <c r="B18" s="439" t="s">
        <v>212</v>
      </c>
      <c r="C18" s="440" t="s">
        <v>195</v>
      </c>
      <c r="D18" s="441" t="s">
        <v>37</v>
      </c>
      <c r="E18" s="432" t="s">
        <v>401</v>
      </c>
      <c r="F18" s="48"/>
    </row>
    <row r="19" spans="1:6" ht="60">
      <c r="A19" s="738" t="s">
        <v>101</v>
      </c>
      <c r="B19" s="442" t="s">
        <v>213</v>
      </c>
      <c r="C19" s="412" t="s">
        <v>223</v>
      </c>
      <c r="D19" s="443" t="s">
        <v>221</v>
      </c>
      <c r="E19" s="428" t="s">
        <v>260</v>
      </c>
      <c r="F19" s="48"/>
    </row>
    <row r="20" spans="1:6" ht="90">
      <c r="A20" s="739"/>
      <c r="B20" s="434" t="s">
        <v>46</v>
      </c>
      <c r="C20" s="414" t="s">
        <v>192</v>
      </c>
      <c r="D20" s="416" t="s">
        <v>267</v>
      </c>
      <c r="E20" s="444" t="s">
        <v>272</v>
      </c>
      <c r="F20" s="48"/>
    </row>
    <row r="21" spans="1:6" ht="90.75" thickBot="1">
      <c r="A21" s="740"/>
      <c r="B21" s="436" t="s">
        <v>47</v>
      </c>
      <c r="C21" s="424" t="s">
        <v>194</v>
      </c>
      <c r="D21" s="437" t="s">
        <v>268</v>
      </c>
      <c r="E21" s="426" t="s">
        <v>222</v>
      </c>
      <c r="F21" s="48"/>
    </row>
    <row r="22" spans="2:5" ht="15">
      <c r="B22" s="46"/>
      <c r="C22" s="52"/>
      <c r="E22" s="197"/>
    </row>
    <row r="25" ht="15.75" thickBot="1"/>
    <row r="26" spans="1:4" ht="15.75" thickBot="1">
      <c r="A26" s="731" t="s">
        <v>30</v>
      </c>
      <c r="B26" s="732"/>
      <c r="C26" s="732"/>
      <c r="D26" s="733"/>
    </row>
    <row r="27" spans="1:4" ht="15.75" thickBot="1">
      <c r="A27" s="731" t="s">
        <v>81</v>
      </c>
      <c r="B27" s="733"/>
      <c r="C27" s="227" t="s">
        <v>82</v>
      </c>
      <c r="D27" s="196" t="s">
        <v>147</v>
      </c>
    </row>
    <row r="28" spans="1:4" ht="90">
      <c r="A28" s="745" t="s">
        <v>94</v>
      </c>
      <c r="B28" s="746"/>
      <c r="C28" s="450" t="s">
        <v>364</v>
      </c>
      <c r="D28" s="451" t="s">
        <v>261</v>
      </c>
    </row>
    <row r="29" spans="1:4" ht="45">
      <c r="A29" s="357" t="s">
        <v>288</v>
      </c>
      <c r="B29" s="449"/>
      <c r="C29" s="450" t="s">
        <v>387</v>
      </c>
      <c r="D29" s="418" t="s">
        <v>391</v>
      </c>
    </row>
    <row r="30" spans="1:4" ht="45">
      <c r="A30" s="357" t="s">
        <v>289</v>
      </c>
      <c r="B30" s="449"/>
      <c r="C30" s="450" t="s">
        <v>388</v>
      </c>
      <c r="D30" s="418" t="s">
        <v>391</v>
      </c>
    </row>
    <row r="31" spans="1:4" ht="30">
      <c r="A31" s="448" t="s">
        <v>380</v>
      </c>
      <c r="B31" s="449"/>
      <c r="C31" s="450" t="s">
        <v>381</v>
      </c>
      <c r="D31" s="480" t="s">
        <v>375</v>
      </c>
    </row>
    <row r="32" spans="1:4" ht="90">
      <c r="A32" s="734" t="s">
        <v>166</v>
      </c>
      <c r="B32" s="735"/>
      <c r="C32" s="454" t="s">
        <v>256</v>
      </c>
      <c r="D32" s="451" t="s">
        <v>402</v>
      </c>
    </row>
    <row r="33" spans="1:4" ht="30">
      <c r="A33" s="452" t="s">
        <v>367</v>
      </c>
      <c r="B33" s="453"/>
      <c r="C33" s="450" t="s">
        <v>382</v>
      </c>
      <c r="D33" s="480" t="s">
        <v>373</v>
      </c>
    </row>
    <row r="34" spans="1:4" ht="105">
      <c r="A34" s="749" t="s">
        <v>167</v>
      </c>
      <c r="B34" s="750"/>
      <c r="C34" s="455" t="s">
        <v>31</v>
      </c>
      <c r="D34" s="418" t="s">
        <v>403</v>
      </c>
    </row>
    <row r="35" spans="1:4" ht="30">
      <c r="A35" s="749" t="s">
        <v>168</v>
      </c>
      <c r="B35" s="750"/>
      <c r="C35" s="455" t="s">
        <v>179</v>
      </c>
      <c r="D35" s="418" t="s">
        <v>389</v>
      </c>
    </row>
    <row r="36" spans="1:4" ht="45">
      <c r="A36" s="749" t="s">
        <v>169</v>
      </c>
      <c r="B36" s="750"/>
      <c r="C36" s="455" t="s">
        <v>150</v>
      </c>
      <c r="D36" s="418" t="s">
        <v>390</v>
      </c>
    </row>
    <row r="37" spans="1:4" s="48" customFormat="1" ht="78" customHeight="1">
      <c r="A37" s="734" t="s">
        <v>96</v>
      </c>
      <c r="B37" s="735"/>
      <c r="C37" s="456" t="s">
        <v>181</v>
      </c>
      <c r="D37" s="418" t="s">
        <v>262</v>
      </c>
    </row>
    <row r="38" spans="1:5" s="48" customFormat="1" ht="15">
      <c r="A38" s="734" t="s">
        <v>124</v>
      </c>
      <c r="B38" s="735"/>
      <c r="C38" s="414" t="s">
        <v>151</v>
      </c>
      <c r="D38" s="418" t="s">
        <v>366</v>
      </c>
      <c r="E38" s="221"/>
    </row>
    <row r="39" spans="1:4" s="48" customFormat="1" ht="15">
      <c r="A39" s="734" t="s">
        <v>53</v>
      </c>
      <c r="B39" s="735"/>
      <c r="C39" s="414" t="s">
        <v>184</v>
      </c>
      <c r="D39" s="457" t="s">
        <v>224</v>
      </c>
    </row>
    <row r="40" spans="1:4" s="48" customFormat="1" ht="75">
      <c r="A40" s="734" t="s">
        <v>50</v>
      </c>
      <c r="B40" s="735"/>
      <c r="C40" s="414" t="s">
        <v>186</v>
      </c>
      <c r="D40" s="435" t="s">
        <v>216</v>
      </c>
    </row>
    <row r="41" spans="1:4" ht="75">
      <c r="A41" s="734" t="s">
        <v>51</v>
      </c>
      <c r="B41" s="735"/>
      <c r="C41" s="414" t="s">
        <v>185</v>
      </c>
      <c r="D41" s="435" t="s">
        <v>216</v>
      </c>
    </row>
    <row r="42" spans="1:4" s="50" customFormat="1" ht="45">
      <c r="A42" s="734" t="s">
        <v>48</v>
      </c>
      <c r="B42" s="735"/>
      <c r="C42" s="414" t="s">
        <v>182</v>
      </c>
      <c r="D42" s="458" t="s">
        <v>1</v>
      </c>
    </row>
    <row r="43" spans="1:4" s="50" customFormat="1" ht="45">
      <c r="A43" s="734" t="s">
        <v>49</v>
      </c>
      <c r="B43" s="735"/>
      <c r="C43" s="414" t="s">
        <v>183</v>
      </c>
      <c r="D43" s="458" t="s">
        <v>1</v>
      </c>
    </row>
    <row r="44" spans="1:6" ht="135">
      <c r="A44" s="734" t="s">
        <v>97</v>
      </c>
      <c r="B44" s="735"/>
      <c r="C44" s="459" t="s">
        <v>187</v>
      </c>
      <c r="D44" s="435" t="s">
        <v>365</v>
      </c>
      <c r="F44" s="51"/>
    </row>
    <row r="45" spans="1:4" ht="45.75" thickBot="1">
      <c r="A45" s="751" t="s">
        <v>95</v>
      </c>
      <c r="B45" s="752"/>
      <c r="C45" s="460" t="s">
        <v>128</v>
      </c>
      <c r="D45" s="461" t="s">
        <v>2</v>
      </c>
    </row>
    <row r="46" spans="1:4" ht="15">
      <c r="A46" s="462"/>
      <c r="B46" s="463"/>
      <c r="C46" s="464"/>
      <c r="D46" s="465"/>
    </row>
    <row r="47" spans="1:4" ht="15">
      <c r="A47" s="462"/>
      <c r="B47" s="463"/>
      <c r="C47" s="464"/>
      <c r="D47" s="465"/>
    </row>
    <row r="48" spans="1:256" s="52" customFormat="1" ht="15.75" thickBot="1">
      <c r="A48" s="466"/>
      <c r="B48" s="467"/>
      <c r="C48" s="467"/>
      <c r="D48" s="467"/>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row>
    <row r="49" spans="1:4" ht="15.75" thickBot="1">
      <c r="A49" s="755" t="s">
        <v>149</v>
      </c>
      <c r="B49" s="756"/>
      <c r="C49" s="756"/>
      <c r="D49" s="757"/>
    </row>
    <row r="50" spans="1:4" ht="15.75" thickBot="1">
      <c r="A50" s="725" t="s">
        <v>29</v>
      </c>
      <c r="B50" s="726"/>
      <c r="C50" s="468" t="s">
        <v>70</v>
      </c>
      <c r="D50" s="469" t="s">
        <v>71</v>
      </c>
    </row>
    <row r="51" spans="1:4" ht="60">
      <c r="A51" s="727" t="s">
        <v>73</v>
      </c>
      <c r="B51" s="728"/>
      <c r="C51" s="470" t="s">
        <v>170</v>
      </c>
      <c r="D51" s="471" t="s">
        <v>171</v>
      </c>
    </row>
    <row r="52" spans="1:4" ht="15">
      <c r="A52" s="729" t="s">
        <v>75</v>
      </c>
      <c r="B52" s="730"/>
      <c r="C52" s="470" t="s">
        <v>188</v>
      </c>
      <c r="D52" s="472" t="s">
        <v>188</v>
      </c>
    </row>
    <row r="53" spans="1:4" ht="30">
      <c r="A53" s="741" t="s">
        <v>90</v>
      </c>
      <c r="B53" s="742"/>
      <c r="C53" s="470" t="s">
        <v>191</v>
      </c>
      <c r="D53" s="451" t="s">
        <v>172</v>
      </c>
    </row>
    <row r="54" spans="1:4" ht="30">
      <c r="A54" s="741" t="s">
        <v>88</v>
      </c>
      <c r="B54" s="742"/>
      <c r="C54" s="470" t="s">
        <v>189</v>
      </c>
      <c r="D54" s="451" t="s">
        <v>173</v>
      </c>
    </row>
    <row r="55" spans="1:4" ht="30">
      <c r="A55" s="743" t="s">
        <v>103</v>
      </c>
      <c r="B55" s="744"/>
      <c r="C55" s="470" t="s">
        <v>190</v>
      </c>
      <c r="D55" s="451" t="s">
        <v>174</v>
      </c>
    </row>
    <row r="56" spans="1:4" ht="30">
      <c r="A56" s="729" t="s">
        <v>76</v>
      </c>
      <c r="B56" s="730"/>
      <c r="C56" s="470" t="s">
        <v>175</v>
      </c>
      <c r="D56" s="451" t="s">
        <v>176</v>
      </c>
    </row>
    <row r="57" spans="1:4" ht="45">
      <c r="A57" s="729" t="s">
        <v>28</v>
      </c>
      <c r="B57" s="730"/>
      <c r="C57" s="414" t="s">
        <v>197</v>
      </c>
      <c r="D57" s="418" t="s">
        <v>196</v>
      </c>
    </row>
    <row r="58" spans="1:4" ht="30">
      <c r="A58" s="729" t="s">
        <v>123</v>
      </c>
      <c r="B58" s="730"/>
      <c r="C58" s="456" t="s">
        <v>198</v>
      </c>
      <c r="D58" s="473"/>
    </row>
    <row r="59" spans="1:4" ht="45.75" thickBot="1">
      <c r="A59" s="747" t="s">
        <v>77</v>
      </c>
      <c r="B59" s="748"/>
      <c r="C59" s="460" t="s">
        <v>199</v>
      </c>
      <c r="D59" s="474"/>
    </row>
    <row r="60" spans="1:4" ht="45.75" thickBot="1">
      <c r="A60" s="736" t="s">
        <v>78</v>
      </c>
      <c r="B60" s="737"/>
      <c r="C60" s="475" t="s">
        <v>200</v>
      </c>
      <c r="D60" s="476" t="s">
        <v>180</v>
      </c>
    </row>
  </sheetData>
  <sheetProtection/>
  <mergeCells count="36">
    <mergeCell ref="A1:B1"/>
    <mergeCell ref="A2:C2"/>
    <mergeCell ref="A49:D49"/>
    <mergeCell ref="A3:E3"/>
    <mergeCell ref="A40:B40"/>
    <mergeCell ref="A41:B41"/>
    <mergeCell ref="A42:B42"/>
    <mergeCell ref="A43:B43"/>
    <mergeCell ref="A44:B44"/>
    <mergeCell ref="A35:B35"/>
    <mergeCell ref="A57:B57"/>
    <mergeCell ref="A58:B58"/>
    <mergeCell ref="A59:B59"/>
    <mergeCell ref="A34:B34"/>
    <mergeCell ref="A56:B56"/>
    <mergeCell ref="A45:B45"/>
    <mergeCell ref="A53:B53"/>
    <mergeCell ref="A36:B36"/>
    <mergeCell ref="A37:B37"/>
    <mergeCell ref="A38:B38"/>
    <mergeCell ref="A60:B60"/>
    <mergeCell ref="A5:A10"/>
    <mergeCell ref="A11:A13"/>
    <mergeCell ref="A14:A17"/>
    <mergeCell ref="A19:A21"/>
    <mergeCell ref="A54:B54"/>
    <mergeCell ref="A55:B55"/>
    <mergeCell ref="A27:B27"/>
    <mergeCell ref="A28:B28"/>
    <mergeCell ref="A32:B32"/>
    <mergeCell ref="A4:B4"/>
    <mergeCell ref="A50:B50"/>
    <mergeCell ref="A51:B51"/>
    <mergeCell ref="A52:B52"/>
    <mergeCell ref="A26:D26"/>
    <mergeCell ref="A39:B39"/>
  </mergeCells>
  <printOptions/>
  <pageMargins left="0.7" right="0.7" top="0.75" bottom="0.75" header="0.3" footer="0.3"/>
  <pageSetup horizontalDpi="600" verticalDpi="600" orientation="landscape"/>
</worksheet>
</file>

<file path=xl/worksheets/sheet8.xml><?xml version="1.0" encoding="utf-8"?>
<worksheet xmlns="http://schemas.openxmlformats.org/spreadsheetml/2006/main" xmlns:r="http://schemas.openxmlformats.org/officeDocument/2006/relationships">
  <dimension ref="A1:C48"/>
  <sheetViews>
    <sheetView zoomScale="55" zoomScaleNormal="55" zoomScalePageLayoutView="0" workbookViewId="0" topLeftCell="A1">
      <selection activeCell="F23" sqref="F23"/>
    </sheetView>
  </sheetViews>
  <sheetFormatPr defaultColWidth="8.7109375" defaultRowHeight="15"/>
  <cols>
    <col min="1" max="1" width="8.7109375" style="3" customWidth="1"/>
    <col min="2" max="2" width="65.7109375" style="240" customWidth="1"/>
    <col min="3" max="3" width="240.7109375" style="3" bestFit="1" customWidth="1"/>
    <col min="4" max="16384" width="8.7109375" style="3" customWidth="1"/>
  </cols>
  <sheetData>
    <row r="1" spans="1:2" ht="26.25">
      <c r="A1" s="561" t="s">
        <v>399</v>
      </c>
      <c r="B1" s="561"/>
    </row>
    <row r="3" spans="1:3" s="191" customFormat="1" ht="31.5" customHeight="1">
      <c r="A3" s="191" t="s">
        <v>232</v>
      </c>
      <c r="B3" s="237" t="s">
        <v>79</v>
      </c>
      <c r="C3" s="234" t="s">
        <v>6</v>
      </c>
    </row>
    <row r="4" spans="1:3" ht="30">
      <c r="A4" s="218"/>
      <c r="B4" s="235"/>
      <c r="C4" s="195" t="s">
        <v>3</v>
      </c>
    </row>
    <row r="5" spans="1:3" s="232" customFormat="1" ht="15.75">
      <c r="A5" s="232" t="s">
        <v>233</v>
      </c>
      <c r="B5" s="236" t="s">
        <v>146</v>
      </c>
      <c r="C5" s="233" t="s">
        <v>271</v>
      </c>
    </row>
    <row r="6" spans="1:3" ht="30">
      <c r="A6" s="218"/>
      <c r="B6" s="235"/>
      <c r="C6" s="231" t="s">
        <v>4</v>
      </c>
    </row>
    <row r="7" spans="1:3" s="230" customFormat="1" ht="15.75">
      <c r="A7" s="230" t="s">
        <v>234</v>
      </c>
      <c r="B7" s="237" t="s">
        <v>375</v>
      </c>
      <c r="C7" s="230" t="s">
        <v>376</v>
      </c>
    </row>
    <row r="8" spans="1:3" ht="15">
      <c r="A8" s="218"/>
      <c r="B8" s="235"/>
      <c r="C8" s="195" t="s">
        <v>377</v>
      </c>
    </row>
    <row r="9" spans="1:3" s="230" customFormat="1" ht="15.75">
      <c r="A9" s="230" t="s">
        <v>235</v>
      </c>
      <c r="B9" s="237" t="s">
        <v>342</v>
      </c>
      <c r="C9" s="230" t="s">
        <v>343</v>
      </c>
    </row>
    <row r="10" spans="1:3" ht="15">
      <c r="A10" s="218"/>
      <c r="B10" s="235"/>
      <c r="C10" s="241" t="s">
        <v>7</v>
      </c>
    </row>
    <row r="11" spans="1:3" s="230" customFormat="1" ht="15.75">
      <c r="A11" s="230" t="s">
        <v>236</v>
      </c>
      <c r="B11" s="237" t="s">
        <v>217</v>
      </c>
      <c r="C11" s="230" t="s">
        <v>218</v>
      </c>
    </row>
    <row r="12" spans="1:3" ht="15">
      <c r="A12" s="218"/>
      <c r="B12" s="235"/>
      <c r="C12" s="3" t="s">
        <v>8</v>
      </c>
    </row>
    <row r="13" spans="1:3" s="232" customFormat="1" ht="30" customHeight="1">
      <c r="A13" s="232" t="s">
        <v>237</v>
      </c>
      <c r="B13" s="236" t="s">
        <v>345</v>
      </c>
      <c r="C13" s="398" t="s">
        <v>346</v>
      </c>
    </row>
    <row r="14" spans="2:3" s="242" customFormat="1" ht="15">
      <c r="B14" s="243"/>
      <c r="C14" s="231" t="s">
        <v>347</v>
      </c>
    </row>
    <row r="15" spans="1:3" s="230" customFormat="1" ht="15.75">
      <c r="A15" s="230" t="s">
        <v>238</v>
      </c>
      <c r="B15" s="237" t="s">
        <v>93</v>
      </c>
      <c r="C15" s="230" t="s">
        <v>178</v>
      </c>
    </row>
    <row r="16" spans="1:2" ht="15">
      <c r="A16" s="218"/>
      <c r="B16" s="235"/>
    </row>
    <row r="17" spans="1:3" s="230" customFormat="1" ht="15.75">
      <c r="A17" s="230" t="s">
        <v>239</v>
      </c>
      <c r="B17" s="237" t="s">
        <v>215</v>
      </c>
      <c r="C17" s="234" t="s">
        <v>177</v>
      </c>
    </row>
    <row r="18" spans="1:3" ht="30">
      <c r="A18" s="218"/>
      <c r="B18" s="235"/>
      <c r="C18" s="195" t="s">
        <v>10</v>
      </c>
    </row>
    <row r="19" spans="1:3" s="230" customFormat="1" ht="15.75">
      <c r="A19" s="230" t="s">
        <v>240</v>
      </c>
      <c r="B19" s="409" t="s">
        <v>355</v>
      </c>
      <c r="C19" s="234" t="s">
        <v>22</v>
      </c>
    </row>
    <row r="20" spans="1:3" ht="30">
      <c r="A20" s="218"/>
      <c r="B20" s="239"/>
      <c r="C20" s="195" t="s">
        <v>11</v>
      </c>
    </row>
    <row r="21" spans="1:3" s="232" customFormat="1" ht="15.75">
      <c r="A21" s="232" t="s">
        <v>241</v>
      </c>
      <c r="B21" s="236" t="s">
        <v>224</v>
      </c>
      <c r="C21" s="233" t="s">
        <v>228</v>
      </c>
    </row>
    <row r="22" spans="1:3" ht="15">
      <c r="A22" s="218"/>
      <c r="B22" s="235"/>
      <c r="C22" s="192"/>
    </row>
    <row r="23" spans="1:3" s="230" customFormat="1" ht="15.75">
      <c r="A23" s="230" t="s">
        <v>243</v>
      </c>
      <c r="B23" s="237" t="s">
        <v>226</v>
      </c>
      <c r="C23" s="230" t="s">
        <v>220</v>
      </c>
    </row>
    <row r="24" spans="1:3" ht="30">
      <c r="A24" s="218"/>
      <c r="B24" s="235"/>
      <c r="C24" s="195" t="s">
        <v>12</v>
      </c>
    </row>
    <row r="25" spans="1:3" s="230" customFormat="1" ht="31.5">
      <c r="A25" s="230" t="s">
        <v>244</v>
      </c>
      <c r="B25" s="237" t="s">
        <v>227</v>
      </c>
      <c r="C25" s="234" t="s">
        <v>219</v>
      </c>
    </row>
    <row r="26" spans="1:3" ht="30">
      <c r="A26" s="218"/>
      <c r="B26" s="235"/>
      <c r="C26" s="195" t="s">
        <v>19</v>
      </c>
    </row>
    <row r="27" spans="1:3" s="230" customFormat="1" ht="15.75">
      <c r="A27" s="230" t="s">
        <v>245</v>
      </c>
      <c r="B27" s="237" t="s">
        <v>0</v>
      </c>
      <c r="C27" s="230" t="s">
        <v>148</v>
      </c>
    </row>
    <row r="28" spans="1:3" ht="15">
      <c r="A28" s="218"/>
      <c r="B28" s="235"/>
      <c r="C28" s="195" t="s">
        <v>13</v>
      </c>
    </row>
    <row r="29" spans="1:3" s="230" customFormat="1" ht="15.75">
      <c r="A29" s="230" t="s">
        <v>330</v>
      </c>
      <c r="B29" s="237" t="s">
        <v>331</v>
      </c>
      <c r="C29" s="234" t="s">
        <v>332</v>
      </c>
    </row>
    <row r="30" spans="2:3" s="230" customFormat="1" ht="15.75">
      <c r="B30" s="237"/>
      <c r="C30" s="386" t="s">
        <v>334</v>
      </c>
    </row>
    <row r="31" spans="1:3" s="230" customFormat="1" ht="31.5">
      <c r="A31" s="230" t="s">
        <v>246</v>
      </c>
      <c r="B31" s="230" t="s">
        <v>324</v>
      </c>
      <c r="C31" s="381" t="s">
        <v>326</v>
      </c>
    </row>
    <row r="32" spans="1:3" ht="15">
      <c r="A32" s="218"/>
      <c r="C32" s="380"/>
    </row>
    <row r="33" spans="1:3" s="230" customFormat="1" ht="32.25" customHeight="1">
      <c r="A33" s="230" t="s">
        <v>247</v>
      </c>
      <c r="B33" s="237" t="s">
        <v>258</v>
      </c>
      <c r="C33" s="234" t="s">
        <v>354</v>
      </c>
    </row>
    <row r="34" spans="1:3" ht="45">
      <c r="A34" s="218"/>
      <c r="B34" s="235"/>
      <c r="C34" s="195" t="s">
        <v>17</v>
      </c>
    </row>
    <row r="35" spans="1:3" s="230" customFormat="1" ht="15.75">
      <c r="A35" s="230" t="s">
        <v>248</v>
      </c>
      <c r="B35" s="237" t="s">
        <v>259</v>
      </c>
      <c r="C35" s="234" t="s">
        <v>5</v>
      </c>
    </row>
    <row r="36" ht="45">
      <c r="C36" s="195" t="s">
        <v>18</v>
      </c>
    </row>
    <row r="37" spans="1:3" ht="43.5" customHeight="1">
      <c r="A37" s="388" t="s">
        <v>336</v>
      </c>
      <c r="B37" s="390" t="s">
        <v>338</v>
      </c>
      <c r="C37" s="389" t="s">
        <v>337</v>
      </c>
    </row>
    <row r="38" spans="1:3" ht="17.25" customHeight="1">
      <c r="A38" s="388"/>
      <c r="B38" s="390"/>
      <c r="C38" s="389"/>
    </row>
    <row r="39" spans="1:3" ht="15.75">
      <c r="A39" s="388" t="s">
        <v>349</v>
      </c>
      <c r="B39" s="390" t="s">
        <v>350</v>
      </c>
      <c r="C39" s="389" t="s">
        <v>351</v>
      </c>
    </row>
    <row r="40" spans="1:3" ht="15.75">
      <c r="A40" s="388"/>
      <c r="B40" s="390"/>
      <c r="C40" s="402" t="s">
        <v>352</v>
      </c>
    </row>
    <row r="41" ht="15">
      <c r="C41" s="195" t="s">
        <v>339</v>
      </c>
    </row>
    <row r="42" spans="1:3" s="446" customFormat="1" ht="15.75">
      <c r="A42" s="446" t="s">
        <v>363</v>
      </c>
      <c r="B42" s="447" t="s">
        <v>385</v>
      </c>
      <c r="C42" s="479" t="s">
        <v>384</v>
      </c>
    </row>
    <row r="43" spans="2:3" s="242" customFormat="1" ht="15">
      <c r="B43" s="243"/>
      <c r="C43" s="445" t="s">
        <v>9</v>
      </c>
    </row>
    <row r="44" spans="1:3" s="242" customFormat="1" ht="15">
      <c r="A44" s="477" t="s">
        <v>370</v>
      </c>
      <c r="B44" s="243" t="s">
        <v>373</v>
      </c>
      <c r="C44" s="478" t="s">
        <v>371</v>
      </c>
    </row>
    <row r="45" spans="2:3" s="242" customFormat="1" ht="15">
      <c r="B45" s="243"/>
      <c r="C45" s="401" t="s">
        <v>372</v>
      </c>
    </row>
    <row r="46" spans="2:3" s="242" customFormat="1" ht="15">
      <c r="B46" s="243"/>
      <c r="C46" s="401"/>
    </row>
    <row r="47" spans="2:3" ht="15.75">
      <c r="B47" s="238" t="s">
        <v>83</v>
      </c>
      <c r="C47" s="230" t="s">
        <v>23</v>
      </c>
    </row>
    <row r="48" spans="2:3" ht="45">
      <c r="B48" s="239"/>
      <c r="C48" s="195" t="s">
        <v>15</v>
      </c>
    </row>
  </sheetData>
  <sheetProtection/>
  <mergeCells count="1">
    <mergeCell ref="A1:B1"/>
  </mergeCells>
  <hyperlinks>
    <hyperlink ref="C5" r:id="rId1" display="http://www.bls.gov/cex/2010/Standard/tenure.pdf"/>
    <hyperlink ref="C13" r:id="rId2" display="http://cfpub.epa.gov/egridweb/ghg.cfm"/>
    <hyperlink ref="C21" r:id="rId3" display="http://www.mitenergyclub.org/assets/2008/11/15/Units_ConvFactors.MIT_EnergyClub_Factsheet.v8.pdf"/>
    <hyperlink ref="C40" r:id="rId4" display="http://www.bts.gov/publications/national_transportation_statistics/html/table_04_23.html "/>
    <hyperlink ref="C45" r:id="rId5" display="http://www.eia.gov/dnav/ng/hist/n3010us3M.htm"/>
  </hyperlinks>
  <printOptions/>
  <pageMargins left="0.7" right="0.7" top="0.75" bottom="0.75" header="0.3" footer="0.3"/>
  <pageSetup horizontalDpi="600" verticalDpi="600" orientation="landscape" r:id="rId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shengnan</dc:creator>
  <cp:keywords/>
  <dc:description/>
  <cp:lastModifiedBy>Yeganeh</cp:lastModifiedBy>
  <cp:lastPrinted>2011-11-28T18:47:09Z</cp:lastPrinted>
  <dcterms:created xsi:type="dcterms:W3CDTF">2011-06-28T15:25:44Z</dcterms:created>
  <dcterms:modified xsi:type="dcterms:W3CDTF">2013-02-26T21:53:22Z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