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drawings/drawing8.xml" ContentType="application/vnd.openxmlformats-officedocument.drawingml.chartshapes+xml"/>
  <Override PartName="/xl/drawings/drawing19.xml" ContentType="application/vnd.openxmlformats-officedocument.drawing+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drawings/drawing17.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ml.chartshapes+xml"/>
  <Override PartName="/xl/drawings/drawing15.xml" ContentType="application/vnd.openxmlformats-officedocument.drawingml.chartshapes+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ml.chartshapes+xml"/>
  <Override PartName="/xl/charts/chart18.xml" ContentType="application/vnd.openxmlformats-officedocument.drawingml.chart+xml"/>
  <Override PartName="/xl/comments2.xml" ContentType="application/vnd.openxmlformats-officedocument.spreadsheetml.comments+xml"/>
  <Override PartName="/xl/charts/chart27.xml" ContentType="application/vnd.openxmlformats-officedocument.drawingml.chart+xml"/>
  <Override PartName="/xl/worksheets/sheet1.xml" ContentType="application/vnd.openxmlformats-officedocument.spreadsheetml.worksheet+xml"/>
  <Override PartName="/xl/drawings/drawing11.xml" ContentType="application/vnd.openxmlformats-officedocument.drawingml.chartshapes+xml"/>
  <Override PartName="/xl/charts/chart16.xml" ContentType="application/vnd.openxmlformats-officedocument.drawingml.chart+xml"/>
  <Override PartName="/xl/charts/chart25.xml" ContentType="application/vnd.openxmlformats-officedocument.drawingml.chart+xml"/>
  <Override PartName="/xl/drawings/drawing20.xml" ContentType="application/vnd.openxmlformats-officedocument.drawing+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ml.chartshapes+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ml.chartshapes+xml"/>
  <Default Extension="jpeg" ContentType="image/jpeg"/>
  <Override PartName="/xl/drawings/drawing18.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ml.chartshapes+xml"/>
  <Override PartName="/xl/drawings/drawing16.xml" ContentType="application/vnd.openxmlformats-officedocument.drawing+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ml.chartshapes+xml"/>
  <Override PartName="/xl/charts/chart19.xml" ContentType="application/vnd.openxmlformats-officedocument.drawingml.chart+xml"/>
  <Override PartName="/xl/comments3.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ml.chartshapes+xml"/>
  <Override PartName="/xl/charts/chart17.xml" ContentType="application/vnd.openxmlformats-officedocument.drawingml.chart+xml"/>
  <Override PartName="/xl/charts/chart26.xml" ContentType="application/vnd.openxmlformats-officedocument.drawingml.chart+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charts/chart13.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24.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4505" yWindow="-15" windowWidth="14340" windowHeight="12120" tabRatio="867"/>
  </bookViews>
  <sheets>
    <sheet name="INTRO" sheetId="26" r:id="rId1"/>
    <sheet name="SUMMARY" sheetId="1" r:id="rId2"/>
    <sheet name="FIGURES" sheetId="13" r:id="rId3"/>
    <sheet name="Valuation" sheetId="5" r:id="rId4"/>
    <sheet name="Vehicle" sheetId="3" r:id="rId5"/>
    <sheet name="Electricity" sheetId="7" r:id="rId6"/>
    <sheet name="Gasoline" sheetId="21" r:id="rId7"/>
    <sheet name="Manufacturing" sheetId="8" r:id="rId8"/>
    <sheet name="Design" sheetId="14" r:id="rId9"/>
    <sheet name="AER" sheetId="4" r:id="rId10"/>
    <sheet name="OwnershipCost" sheetId="11" r:id="rId11"/>
    <sheet name="Maintenance" sheetId="22" r:id="rId12"/>
    <sheet name="Charger" sheetId="23" r:id="rId13"/>
    <sheet name="Oil Data" sheetId="20" r:id="rId14"/>
    <sheet name="Oil Allocation" sheetId="24" r:id="rId15"/>
    <sheet name="Deflator" sheetId="2" r:id="rId16"/>
    <sheet name="Units" sheetId="10" r:id="rId17"/>
    <sheet name="Noise Water" sheetId="25" r:id="rId18"/>
    <sheet name="Sources" sheetId="12" r:id="rId19"/>
  </sheets>
  <definedNames>
    <definedName name="_xlnm._FilterDatabase" localSheetId="18" hidden="1">Sources!$A$3:$B$12</definedName>
    <definedName name="batsizeBEV">SUMMARY!$B$46</definedName>
    <definedName name="batsizeHEV_Liion">SUMMARY!$B$43</definedName>
    <definedName name="batsizeHEV_NiMH">SUMMARY!$B$42</definedName>
    <definedName name="batsizePHEV20">SUMMARY!$B$44</definedName>
    <definedName name="batsizePHEV60">SUMMARY!$B$45</definedName>
    <definedName name="Battery_life__years">SUMMARY!$B$18</definedName>
    <definedName name="battery_replacements">SUMMARY!$B$18</definedName>
    <definedName name="CH4_to_CO2eq">Units!$B$8</definedName>
    <definedName name="ealloc_perbbloil_to_pergalgas">Units!$B$10</definedName>
    <definedName name="Externality_oil_premium_rate">SUMMARY!$B$40</definedName>
    <definedName name="galgas_to_mtCO2">Units!$B$11</definedName>
    <definedName name="galgaseq_to_kWh">Units!$B$7</definedName>
    <definedName name="Inflation_rate_for_fuel_prices">SUMMARY!$B$37</definedName>
    <definedName name="lb_to_mt">Units!$B$5</definedName>
    <definedName name="Li_ion_battery_replacements">SUMMARY!$B$49</definedName>
    <definedName name="Lifetime_mileage">SUMMARY!$B$33</definedName>
    <definedName name="mi_to_km">Units!$B$6</definedName>
    <definedName name="N2O_to_CO2eq">Units!$B$9</definedName>
    <definedName name="NiMH_Battery_Life__years">SUMMARY!$B$17</definedName>
    <definedName name="NiMH_battery_replacements">SUMMARY!$B$48</definedName>
    <definedName name="Nominal_discount_rate">SUMMARY!$B$36</definedName>
    <definedName name="P_given_A_at_social_rate">SUMMARY!$B$41</definedName>
    <definedName name="PbAcid_battery_replacements">SUMMARY!$B$47</definedName>
    <definedName name="Present_Annual___real_rate">SUMMARY!$B$39</definedName>
    <definedName name="Real_discount_rate__fuel_cost">SUMMARY!$B$38</definedName>
    <definedName name="ton_to_mt">Units!$B$4</definedName>
    <definedName name="USD_1949">Deflator!$C$9</definedName>
    <definedName name="USD_1950">Deflator!$C$10</definedName>
    <definedName name="USD_1951">Deflator!$C$11</definedName>
    <definedName name="USD_1952">Deflator!$C$12</definedName>
    <definedName name="USD_1953">Deflator!$C$13</definedName>
    <definedName name="USD_1954">Deflator!$C$14</definedName>
    <definedName name="USD_1955">Deflator!$C$15</definedName>
    <definedName name="USD_1956">Deflator!$C$16</definedName>
    <definedName name="USD_1957">Deflator!$C$17</definedName>
    <definedName name="USD_1958">Deflator!$C$18</definedName>
    <definedName name="USD_1959">Deflator!$C$19</definedName>
    <definedName name="USD_1960">Deflator!$C$20</definedName>
    <definedName name="USD_1961">Deflator!$C$21</definedName>
    <definedName name="USD_1962">Deflator!$C$22</definedName>
    <definedName name="USD_1963">Deflator!$C$23</definedName>
    <definedName name="USD_1964">Deflator!$C$24</definedName>
    <definedName name="USD_1965">Deflator!$C$25</definedName>
    <definedName name="USD_1966">Deflator!$C$26</definedName>
    <definedName name="USD_1967">Deflator!$C$27</definedName>
    <definedName name="USD_1968">Deflator!$C$28</definedName>
    <definedName name="USD_1969">Deflator!$C$29</definedName>
    <definedName name="USD_1970">Deflator!$C$30</definedName>
    <definedName name="USD_1971">Deflator!$C$31</definedName>
    <definedName name="USD_1972">Deflator!$C$32</definedName>
    <definedName name="USD_1973">Deflator!$C$33</definedName>
    <definedName name="USD_1974">Deflator!$C$34</definedName>
    <definedName name="USD_1975">Deflator!$C$35</definedName>
    <definedName name="USD_1976">Deflator!$C$36</definedName>
    <definedName name="USD_1977">Deflator!$C$37</definedName>
    <definedName name="USD_1978">Deflator!$C$38</definedName>
    <definedName name="USD_1979">Deflator!$C$39</definedName>
    <definedName name="USD_1980">Deflator!$C$40</definedName>
    <definedName name="USD_1981">Deflator!$C$41</definedName>
    <definedName name="USD_1982">Deflator!$C$42</definedName>
    <definedName name="USD_1983">Deflator!$C$43</definedName>
    <definedName name="USD_1984">Deflator!$C$44</definedName>
    <definedName name="USD_1985">Deflator!$C$45</definedName>
    <definedName name="USD_1986">Deflator!$C$46</definedName>
    <definedName name="USD_1987">Deflator!$C$47</definedName>
    <definedName name="USD_1988">Deflator!$C$48</definedName>
    <definedName name="USD_1989">Deflator!$C$49</definedName>
    <definedName name="USD_1990">Deflator!$C$50</definedName>
    <definedName name="USD_1991">Deflator!$C$51</definedName>
    <definedName name="USD_1992">Deflator!$C$52</definedName>
    <definedName name="USD_1993">Deflator!$C$53</definedName>
    <definedName name="USD_1994">Deflator!$C$54</definedName>
    <definedName name="USD_1995">Deflator!$C$55</definedName>
    <definedName name="USD_1996">Deflator!$C$56</definedName>
    <definedName name="USD_1997">Deflator!$C$57</definedName>
    <definedName name="USD_1998">Deflator!$C$58</definedName>
    <definedName name="USD_1999">Deflator!$C$59</definedName>
    <definedName name="USD_2000">Deflator!$C$60</definedName>
    <definedName name="USD_2001">Deflator!$C$61</definedName>
    <definedName name="USD_2002">Deflator!$C$62</definedName>
    <definedName name="USD_2003">Deflator!$C$63</definedName>
    <definedName name="USD_2004">Deflator!$C$64</definedName>
    <definedName name="USD_2005">Deflator!$C$65</definedName>
    <definedName name="USD_2006">Deflator!$C$66</definedName>
    <definedName name="USD_2007">Deflator!$C$68</definedName>
    <definedName name="USD_2007a">Deflator!$C$67</definedName>
    <definedName name="USD_2008">Deflator!$C$69</definedName>
    <definedName name="USD_2009">Deflator!$C$70</definedName>
    <definedName name="USD_2010">Deflator!$C$71</definedName>
    <definedName name="USD_2011">Deflator!$C$72</definedName>
    <definedName name="USD_2012">Deflator!$C$73</definedName>
    <definedName name="USD_2013">Deflator!$C$74</definedName>
    <definedName name="USD_2014">Deflator!$C$75</definedName>
    <definedName name="USD_2015">Deflator!$C$76</definedName>
    <definedName name="USD_2016">Deflator!$C$77</definedName>
    <definedName name="USD_2017">Deflator!$C$78</definedName>
    <definedName name="USD_2018">Deflator!$C$79</definedName>
    <definedName name="USD_2019">Deflator!$C$80</definedName>
    <definedName name="USD_2020">Deflator!$C$81</definedName>
    <definedName name="USD_2021">Deflator!$C$82</definedName>
    <definedName name="USD_2022">Deflator!$C$83</definedName>
    <definedName name="USD_2023">Deflator!$C$84</definedName>
    <definedName name="USD_2024">Deflator!$C$85</definedName>
    <definedName name="USD_2025">Deflator!$C$86</definedName>
    <definedName name="USD_2026">Deflator!$C$87</definedName>
    <definedName name="USD_2027">Deflator!$C$88</definedName>
    <definedName name="USD_2028">Deflator!$C$89</definedName>
    <definedName name="USD_2029">Deflator!$C$90</definedName>
    <definedName name="USD_2030">Deflator!$C$91</definedName>
    <definedName name="USD_2031">Deflator!$C$92</definedName>
    <definedName name="USD_2032">Deflator!$C$93</definedName>
    <definedName name="USD_2033">Deflator!$C$94</definedName>
    <definedName name="USD_2034">Deflator!$C$95</definedName>
    <definedName name="USD_2035">Deflator!$C$96</definedName>
    <definedName name="USD_BaseYear">Deflator!$C$5</definedName>
    <definedName name="Vehicle_life">SUMMARY!$B$32</definedName>
  </definedNames>
  <calcPr calcId="125725" concurrentCalc="0"/>
</workbook>
</file>

<file path=xl/calcChain.xml><?xml version="1.0" encoding="utf-8"?>
<calcChain xmlns="http://schemas.openxmlformats.org/spreadsheetml/2006/main">
  <c r="D114" i="13"/>
  <c r="D50"/>
  <c r="F44"/>
  <c r="E44"/>
  <c r="D44"/>
  <c r="O22"/>
  <c r="O21"/>
  <c r="O20"/>
  <c r="O19"/>
  <c r="O18"/>
  <c r="O16"/>
  <c r="O15"/>
  <c r="O14"/>
  <c r="O13"/>
  <c r="O12"/>
  <c r="O7"/>
  <c r="O8"/>
  <c r="O9"/>
  <c r="O10"/>
  <c r="O6"/>
  <c r="H44"/>
  <c r="G44"/>
  <c r="F114"/>
  <c r="H114"/>
  <c r="D62"/>
  <c r="F62"/>
  <c r="H62"/>
  <c r="F50"/>
  <c r="H50"/>
  <c r="G120"/>
  <c r="H120"/>
  <c r="E50"/>
  <c r="G50"/>
  <c r="G121"/>
  <c r="H121"/>
  <c r="E62"/>
  <c r="G62"/>
  <c r="G122"/>
  <c r="H122"/>
  <c r="E114"/>
  <c r="G114"/>
  <c r="G123"/>
  <c r="H123"/>
  <c r="D120"/>
  <c r="E120"/>
  <c r="F120"/>
  <c r="D121"/>
  <c r="E121"/>
  <c r="F121"/>
  <c r="D122"/>
  <c r="E122"/>
  <c r="F122"/>
  <c r="D123"/>
  <c r="E123"/>
  <c r="F123"/>
  <c r="C123"/>
  <c r="C122"/>
  <c r="C121"/>
  <c r="C120"/>
  <c r="C113"/>
  <c r="C114"/>
  <c r="B114"/>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5"/>
  <c r="C116"/>
  <c r="C117"/>
  <c r="C52"/>
  <c r="C53"/>
  <c r="C54"/>
  <c r="C55"/>
  <c r="C56"/>
  <c r="C57"/>
  <c r="C58"/>
  <c r="C59"/>
  <c r="C60"/>
  <c r="C61"/>
  <c r="B62"/>
  <c r="C62"/>
  <c r="B50"/>
  <c r="C50"/>
  <c r="B44"/>
  <c r="C64"/>
  <c r="C65"/>
  <c r="C66"/>
  <c r="C67"/>
  <c r="C68"/>
  <c r="C69"/>
  <c r="C70"/>
  <c r="C71"/>
  <c r="C72"/>
  <c r="C63"/>
  <c r="C51"/>
  <c r="C49"/>
  <c r="B49" i="1"/>
  <c r="A46" i="11"/>
  <c r="B5" i="2"/>
  <c r="C5" a="1"/>
  <c r="C5"/>
  <c r="L16" i="11"/>
  <c r="L17"/>
  <c r="L18"/>
  <c r="L19"/>
  <c r="L20"/>
  <c r="L21"/>
  <c r="L22"/>
  <c r="L23"/>
  <c r="L46" a="1"/>
  <c r="L46"/>
  <c r="D9"/>
  <c r="AB44" i="1"/>
  <c r="G16" i="11"/>
  <c r="G17"/>
  <c r="G18"/>
  <c r="G19"/>
  <c r="G20"/>
  <c r="G21"/>
  <c r="G22"/>
  <c r="G23"/>
  <c r="G31"/>
  <c r="G32"/>
  <c r="G33"/>
  <c r="G34"/>
  <c r="G39"/>
  <c r="G40"/>
  <c r="G41"/>
  <c r="G42"/>
  <c r="G46" a="1"/>
  <c r="G46"/>
  <c r="B9"/>
  <c r="Z44" i="1"/>
  <c r="C9" i="11"/>
  <c r="AA44" i="1"/>
  <c r="C16" i="11"/>
  <c r="C17"/>
  <c r="C18"/>
  <c r="C19"/>
  <c r="C20"/>
  <c r="C21"/>
  <c r="C22"/>
  <c r="C23"/>
  <c r="C39"/>
  <c r="C40"/>
  <c r="C41"/>
  <c r="C42"/>
  <c r="C46" a="1"/>
  <c r="C46"/>
  <c r="H46" a="1"/>
  <c r="H46"/>
  <c r="B5"/>
  <c r="Z40" i="1"/>
  <c r="K44"/>
  <c r="K51"/>
  <c r="I59"/>
  <c r="K16" i="11"/>
  <c r="K17"/>
  <c r="K18"/>
  <c r="K19"/>
  <c r="K20"/>
  <c r="K21"/>
  <c r="K22"/>
  <c r="K23"/>
  <c r="K31"/>
  <c r="K46" a="1"/>
  <c r="K46"/>
  <c r="D8"/>
  <c r="AB43" i="1"/>
  <c r="F16" i="11"/>
  <c r="F17"/>
  <c r="F18"/>
  <c r="F19"/>
  <c r="F20"/>
  <c r="F21"/>
  <c r="F22"/>
  <c r="F23"/>
  <c r="F46" a="1"/>
  <c r="F46"/>
  <c r="B8"/>
  <c r="Z43" i="1"/>
  <c r="C8" i="11"/>
  <c r="AA43" i="1"/>
  <c r="K49"/>
  <c r="I58"/>
  <c r="J16" i="11"/>
  <c r="J17"/>
  <c r="J18"/>
  <c r="J19"/>
  <c r="J20"/>
  <c r="J21"/>
  <c r="J22"/>
  <c r="J23"/>
  <c r="J31"/>
  <c r="J43"/>
  <c r="J46" a="1"/>
  <c r="J46"/>
  <c r="D7"/>
  <c r="AB42" i="1"/>
  <c r="E16" i="11"/>
  <c r="E17"/>
  <c r="E18"/>
  <c r="E19"/>
  <c r="E20"/>
  <c r="E21"/>
  <c r="E22"/>
  <c r="E23"/>
  <c r="E46" a="1"/>
  <c r="E46"/>
  <c r="B7"/>
  <c r="Z42" i="1"/>
  <c r="C7" i="11"/>
  <c r="AA42" i="1"/>
  <c r="K47"/>
  <c r="I57"/>
  <c r="I16" i="11"/>
  <c r="I17"/>
  <c r="I18"/>
  <c r="I19"/>
  <c r="I20"/>
  <c r="I21"/>
  <c r="I22"/>
  <c r="I23"/>
  <c r="I46" a="1"/>
  <c r="I46"/>
  <c r="B48" i="1"/>
  <c r="D6" i="11"/>
  <c r="AB41" i="1"/>
  <c r="D16" i="11"/>
  <c r="D17"/>
  <c r="D18"/>
  <c r="D19"/>
  <c r="D20"/>
  <c r="D21"/>
  <c r="D22"/>
  <c r="D23"/>
  <c r="D46" a="1"/>
  <c r="D46"/>
  <c r="B6"/>
  <c r="Z41" i="1"/>
  <c r="C6" i="11"/>
  <c r="AA41" i="1"/>
  <c r="K45"/>
  <c r="I56"/>
  <c r="B40"/>
  <c r="AA20" i="8"/>
  <c r="B41" i="1"/>
  <c r="B9" i="5"/>
  <c r="C5"/>
  <c r="C6"/>
  <c r="C7"/>
  <c r="C9" a="1"/>
  <c r="C9"/>
  <c r="E23" i="3"/>
  <c r="A46"/>
  <c r="F29"/>
  <c r="G29"/>
  <c r="J29"/>
  <c r="F30"/>
  <c r="G30"/>
  <c r="J30"/>
  <c r="F31"/>
  <c r="G31"/>
  <c r="J31"/>
  <c r="F32"/>
  <c r="G32"/>
  <c r="J32"/>
  <c r="F33"/>
  <c r="G33"/>
  <c r="J33"/>
  <c r="F34"/>
  <c r="G34"/>
  <c r="J34"/>
  <c r="F35"/>
  <c r="G35"/>
  <c r="J35"/>
  <c r="G39"/>
  <c r="J39"/>
  <c r="F40"/>
  <c r="G40"/>
  <c r="H40"/>
  <c r="I40"/>
  <c r="J40"/>
  <c r="F41"/>
  <c r="G41"/>
  <c r="H41"/>
  <c r="I41"/>
  <c r="J41"/>
  <c r="F42"/>
  <c r="G42"/>
  <c r="H42"/>
  <c r="I42"/>
  <c r="J42"/>
  <c r="F43"/>
  <c r="G43"/>
  <c r="H43"/>
  <c r="I43"/>
  <c r="J43"/>
  <c r="F44"/>
  <c r="G44"/>
  <c r="H44"/>
  <c r="I44"/>
  <c r="J44"/>
  <c r="F45"/>
  <c r="G45"/>
  <c r="H45"/>
  <c r="I45"/>
  <c r="J45"/>
  <c r="J46" a="1"/>
  <c r="J46"/>
  <c r="E6"/>
  <c r="I11" i="1"/>
  <c r="C33" i="8"/>
  <c r="R33" a="1"/>
  <c r="R33"/>
  <c r="A23" i="3"/>
  <c r="F16"/>
  <c r="F17"/>
  <c r="F18"/>
  <c r="F19"/>
  <c r="F20"/>
  <c r="F21"/>
  <c r="F23" a="1"/>
  <c r="F23"/>
  <c r="K36"/>
  <c r="K37"/>
  <c r="K39"/>
  <c r="K40"/>
  <c r="K41"/>
  <c r="K42"/>
  <c r="K43"/>
  <c r="K44"/>
  <c r="K45"/>
  <c r="K46" a="1"/>
  <c r="K46"/>
  <c r="F6"/>
  <c r="J11" i="1"/>
  <c r="G16" i="3"/>
  <c r="G17"/>
  <c r="G18"/>
  <c r="G19"/>
  <c r="G23" a="1"/>
  <c r="G23"/>
  <c r="L46" a="1"/>
  <c r="L46"/>
  <c r="G6"/>
  <c r="K11" i="1"/>
  <c r="T33" i="8" a="1"/>
  <c r="T33"/>
  <c r="H16" i="3"/>
  <c r="H17"/>
  <c r="H18"/>
  <c r="H19"/>
  <c r="H20"/>
  <c r="H21"/>
  <c r="H23" a="1"/>
  <c r="H23"/>
  <c r="M36"/>
  <c r="M37"/>
  <c r="M38"/>
  <c r="M39"/>
  <c r="M40"/>
  <c r="M41"/>
  <c r="M42"/>
  <c r="M43"/>
  <c r="M44"/>
  <c r="M45"/>
  <c r="M46" a="1"/>
  <c r="M46"/>
  <c r="H6"/>
  <c r="L11" i="1"/>
  <c r="U33" i="8" a="1"/>
  <c r="U33"/>
  <c r="I16" i="3"/>
  <c r="I17"/>
  <c r="I18"/>
  <c r="I19"/>
  <c r="I20"/>
  <c r="I21"/>
  <c r="I23" a="1"/>
  <c r="I23"/>
  <c r="N36"/>
  <c r="N37"/>
  <c r="N39"/>
  <c r="N40"/>
  <c r="N41"/>
  <c r="N42"/>
  <c r="N43"/>
  <c r="N44"/>
  <c r="N45"/>
  <c r="N46" a="1"/>
  <c r="N46"/>
  <c r="I6"/>
  <c r="M11" i="1"/>
  <c r="V33" i="8" a="1"/>
  <c r="V33"/>
  <c r="J16" i="3"/>
  <c r="J17"/>
  <c r="J18"/>
  <c r="J19"/>
  <c r="J23" a="1"/>
  <c r="J23"/>
  <c r="O39"/>
  <c r="O40"/>
  <c r="O41"/>
  <c r="O42"/>
  <c r="O43"/>
  <c r="O44"/>
  <c r="O45"/>
  <c r="O46" a="1"/>
  <c r="O46"/>
  <c r="J6"/>
  <c r="N11" i="1"/>
  <c r="W33" i="8" a="1"/>
  <c r="W33"/>
  <c r="K16" i="3"/>
  <c r="K17"/>
  <c r="K18"/>
  <c r="K19"/>
  <c r="K20"/>
  <c r="K21"/>
  <c r="K23" a="1"/>
  <c r="K23"/>
  <c r="P36"/>
  <c r="P37"/>
  <c r="B42" i="1"/>
  <c r="P38" i="3"/>
  <c r="P39"/>
  <c r="P46" a="1"/>
  <c r="P46"/>
  <c r="K6"/>
  <c r="O11" i="1"/>
  <c r="X33" i="8" a="1"/>
  <c r="X33"/>
  <c r="L16" i="3"/>
  <c r="L17"/>
  <c r="L18"/>
  <c r="L19"/>
  <c r="L20"/>
  <c r="L21"/>
  <c r="L23" a="1"/>
  <c r="L23"/>
  <c r="Q36"/>
  <c r="Q37"/>
  <c r="Q39"/>
  <c r="Q40"/>
  <c r="Q41"/>
  <c r="Q42"/>
  <c r="Q43"/>
  <c r="Q44"/>
  <c r="Q45"/>
  <c r="Q46" a="1"/>
  <c r="Q46"/>
  <c r="L6"/>
  <c r="P11" i="1"/>
  <c r="B19" i="5"/>
  <c r="F23" i="20"/>
  <c r="G23"/>
  <c r="E12" i="5"/>
  <c r="F22" i="20"/>
  <c r="G22"/>
  <c r="E13" i="5"/>
  <c r="F24" i="20"/>
  <c r="G24"/>
  <c r="E14" i="5"/>
  <c r="F8" i="20"/>
  <c r="G8"/>
  <c r="E15" i="5"/>
  <c r="F7" i="20"/>
  <c r="G7"/>
  <c r="E16" i="5"/>
  <c r="F9" i="20"/>
  <c r="G9"/>
  <c r="E17" i="5"/>
  <c r="E19" a="1"/>
  <c r="E19"/>
  <c r="B23" i="3"/>
  <c r="F38"/>
  <c r="F39"/>
  <c r="F46" a="1"/>
  <c r="F46"/>
  <c r="B6"/>
  <c r="Q11" i="1"/>
  <c r="Q12"/>
  <c r="B26" i="5"/>
  <c r="F5" i="20"/>
  <c r="G5"/>
  <c r="E22" i="5"/>
  <c r="F4" i="20"/>
  <c r="G4"/>
  <c r="E23" i="5"/>
  <c r="F6" i="20"/>
  <c r="G6"/>
  <c r="E24" i="5"/>
  <c r="E26" a="1"/>
  <c r="E26"/>
  <c r="C23" i="3"/>
  <c r="C6"/>
  <c r="R11" i="1"/>
  <c r="R12"/>
  <c r="B34" i="5"/>
  <c r="C29"/>
  <c r="E29"/>
  <c r="C30"/>
  <c r="E30"/>
  <c r="E31"/>
  <c r="E32"/>
  <c r="E34" a="1"/>
  <c r="E34"/>
  <c r="D23" i="3"/>
  <c r="D6"/>
  <c r="S11" i="1"/>
  <c r="S12"/>
  <c r="AA22" i="8"/>
  <c r="A86" i="3"/>
  <c r="A27" i="4"/>
  <c r="F27" a="1"/>
  <c r="F27"/>
  <c r="F71" i="3"/>
  <c r="G71"/>
  <c r="J71"/>
  <c r="F72"/>
  <c r="G72"/>
  <c r="J72"/>
  <c r="F73"/>
  <c r="G73"/>
  <c r="J73"/>
  <c r="F74"/>
  <c r="G74"/>
  <c r="J74"/>
  <c r="F75"/>
  <c r="G75"/>
  <c r="J75"/>
  <c r="F76"/>
  <c r="G76"/>
  <c r="J76"/>
  <c r="F77"/>
  <c r="G77"/>
  <c r="J77"/>
  <c r="G78"/>
  <c r="J78"/>
  <c r="F79"/>
  <c r="G79"/>
  <c r="H59"/>
  <c r="H79"/>
  <c r="I59"/>
  <c r="I79"/>
  <c r="J79"/>
  <c r="F80"/>
  <c r="G80"/>
  <c r="H60"/>
  <c r="H80"/>
  <c r="I60"/>
  <c r="I80"/>
  <c r="J80"/>
  <c r="I27" i="4" a="1"/>
  <c r="I27"/>
  <c r="F81" i="3"/>
  <c r="G81"/>
  <c r="H61"/>
  <c r="H81"/>
  <c r="I61"/>
  <c r="I81"/>
  <c r="J81"/>
  <c r="F82"/>
  <c r="G82"/>
  <c r="H62"/>
  <c r="H82"/>
  <c r="I62"/>
  <c r="I82"/>
  <c r="J82"/>
  <c r="F83"/>
  <c r="G83"/>
  <c r="H63"/>
  <c r="H83"/>
  <c r="I63"/>
  <c r="I83"/>
  <c r="J83"/>
  <c r="F84"/>
  <c r="G84"/>
  <c r="H64"/>
  <c r="H84"/>
  <c r="I64"/>
  <c r="I84"/>
  <c r="J84"/>
  <c r="J86" a="1"/>
  <c r="J86"/>
  <c r="E8"/>
  <c r="I23" i="1"/>
  <c r="C51" i="8"/>
  <c r="C89"/>
  <c r="K78" i="3"/>
  <c r="K59"/>
  <c r="K79"/>
  <c r="K60"/>
  <c r="K80"/>
  <c r="K61"/>
  <c r="K81"/>
  <c r="K62"/>
  <c r="K82"/>
  <c r="K63"/>
  <c r="K83"/>
  <c r="K64"/>
  <c r="K84"/>
  <c r="K86" a="1"/>
  <c r="K86"/>
  <c r="F8"/>
  <c r="J23" i="1"/>
  <c r="L86" i="3" a="1"/>
  <c r="L86"/>
  <c r="G8"/>
  <c r="K23" i="1"/>
  <c r="M78" i="3"/>
  <c r="M59"/>
  <c r="M79"/>
  <c r="M60"/>
  <c r="M80"/>
  <c r="M61"/>
  <c r="M81"/>
  <c r="M62"/>
  <c r="M82"/>
  <c r="M64"/>
  <c r="M83"/>
  <c r="M84"/>
  <c r="M85"/>
  <c r="M86" a="1"/>
  <c r="M86"/>
  <c r="H8"/>
  <c r="L23" i="1"/>
  <c r="N78" i="3"/>
  <c r="N79"/>
  <c r="N80"/>
  <c r="N81"/>
  <c r="N82"/>
  <c r="N83"/>
  <c r="N84"/>
  <c r="N86" a="1"/>
  <c r="N86"/>
  <c r="I8"/>
  <c r="M23" i="1"/>
  <c r="O78" i="3"/>
  <c r="O79"/>
  <c r="O80"/>
  <c r="O81"/>
  <c r="O82"/>
  <c r="O83"/>
  <c r="O84"/>
  <c r="O86" a="1"/>
  <c r="O86"/>
  <c r="J8"/>
  <c r="N23" i="1"/>
  <c r="P78" i="3"/>
  <c r="P85"/>
  <c r="P86" a="1"/>
  <c r="P86"/>
  <c r="K8"/>
  <c r="O23" i="1"/>
  <c r="Q78" i="3"/>
  <c r="Q59"/>
  <c r="Q79"/>
  <c r="Q60"/>
  <c r="Q80"/>
  <c r="Q61"/>
  <c r="Q81"/>
  <c r="Q62"/>
  <c r="Q82"/>
  <c r="Q63"/>
  <c r="Q83"/>
  <c r="Q64"/>
  <c r="Q84"/>
  <c r="Q86" a="1"/>
  <c r="Q86"/>
  <c r="L8"/>
  <c r="P23" i="1"/>
  <c r="F78" i="3"/>
  <c r="F85"/>
  <c r="F86" a="1"/>
  <c r="F86"/>
  <c r="B8"/>
  <c r="Q23" i="1"/>
  <c r="Q24"/>
  <c r="C8" i="3"/>
  <c r="R23" i="1"/>
  <c r="R24"/>
  <c r="D8" i="3"/>
  <c r="S23" i="1"/>
  <c r="S24"/>
  <c r="AA21" i="8"/>
  <c r="A66" i="3"/>
  <c r="F51"/>
  <c r="G51"/>
  <c r="J51"/>
  <c r="F52"/>
  <c r="G52"/>
  <c r="J52"/>
  <c r="F53"/>
  <c r="G53"/>
  <c r="J53"/>
  <c r="F54"/>
  <c r="G54"/>
  <c r="J54"/>
  <c r="F55"/>
  <c r="G55"/>
  <c r="J55"/>
  <c r="F56"/>
  <c r="G56"/>
  <c r="J56"/>
  <c r="F57"/>
  <c r="G57"/>
  <c r="J57"/>
  <c r="F58"/>
  <c r="G58"/>
  <c r="J58"/>
  <c r="F59"/>
  <c r="G59"/>
  <c r="J59"/>
  <c r="F60"/>
  <c r="G60"/>
  <c r="J60"/>
  <c r="F61"/>
  <c r="G61"/>
  <c r="J61"/>
  <c r="F62"/>
  <c r="G62"/>
  <c r="J62"/>
  <c r="F63"/>
  <c r="G63"/>
  <c r="J63"/>
  <c r="F64"/>
  <c r="G64"/>
  <c r="J64"/>
  <c r="J66" a="1"/>
  <c r="J66"/>
  <c r="E7"/>
  <c r="I17" i="1"/>
  <c r="C39" i="8"/>
  <c r="R39" a="1"/>
  <c r="R39"/>
  <c r="K58" i="3"/>
  <c r="K66" a="1"/>
  <c r="K66"/>
  <c r="F7"/>
  <c r="J17" i="1"/>
  <c r="L66" i="3" a="1"/>
  <c r="L66"/>
  <c r="G7"/>
  <c r="K17" i="1"/>
  <c r="T39" i="8" a="1"/>
  <c r="T39"/>
  <c r="M58" i="3"/>
  <c r="M63"/>
  <c r="M65"/>
  <c r="M66" a="1"/>
  <c r="M66"/>
  <c r="H7"/>
  <c r="L17" i="1"/>
  <c r="U39" i="8" a="1"/>
  <c r="U39"/>
  <c r="N58" i="3"/>
  <c r="N59"/>
  <c r="N60"/>
  <c r="N61"/>
  <c r="N62"/>
  <c r="N63"/>
  <c r="N64"/>
  <c r="N66" a="1"/>
  <c r="N66"/>
  <c r="I7"/>
  <c r="M17" i="1"/>
  <c r="V39" i="8" a="1"/>
  <c r="V39"/>
  <c r="O58" i="3"/>
  <c r="O59"/>
  <c r="O60"/>
  <c r="O61"/>
  <c r="O62"/>
  <c r="O63"/>
  <c r="O64"/>
  <c r="O66" a="1"/>
  <c r="O66"/>
  <c r="J7"/>
  <c r="N17" i="1"/>
  <c r="W39" i="8" a="1"/>
  <c r="W39"/>
  <c r="P58" i="3"/>
  <c r="P65"/>
  <c r="P66" a="1"/>
  <c r="P66"/>
  <c r="K7"/>
  <c r="O17" i="1"/>
  <c r="X39" i="8" a="1"/>
  <c r="X39"/>
  <c r="Q58" i="3"/>
  <c r="Q66" a="1"/>
  <c r="Q66"/>
  <c r="L7"/>
  <c r="P17" i="1"/>
  <c r="F65" i="3"/>
  <c r="F66" a="1"/>
  <c r="F66"/>
  <c r="B7"/>
  <c r="Q17" i="1"/>
  <c r="Q18"/>
  <c r="C7" i="3"/>
  <c r="R17" i="1"/>
  <c r="R18"/>
  <c r="D7" i="3"/>
  <c r="S17" i="1"/>
  <c r="S18"/>
  <c r="R113" i="8"/>
  <c r="X145"/>
  <c r="W145"/>
  <c r="V145"/>
  <c r="U145"/>
  <c r="T145"/>
  <c r="S145"/>
  <c r="R145"/>
  <c r="X129"/>
  <c r="W129"/>
  <c r="V129"/>
  <c r="U129"/>
  <c r="T129"/>
  <c r="S129"/>
  <c r="R129"/>
  <c r="X113"/>
  <c r="W113"/>
  <c r="V113"/>
  <c r="U113"/>
  <c r="T113"/>
  <c r="S113"/>
  <c r="C37" i="5"/>
  <c r="B10" i="10"/>
  <c r="E37" i="5"/>
  <c r="E38"/>
  <c r="B13" i="22"/>
  <c r="B24"/>
  <c r="B14"/>
  <c r="B25"/>
  <c r="B15"/>
  <c r="B26"/>
  <c r="B16"/>
  <c r="B27"/>
  <c r="B17"/>
  <c r="B28"/>
  <c r="B18"/>
  <c r="B29"/>
  <c r="B30"/>
  <c r="D13"/>
  <c r="D24"/>
  <c r="D14"/>
  <c r="D25"/>
  <c r="D15"/>
  <c r="D26"/>
  <c r="D16"/>
  <c r="D27"/>
  <c r="D17"/>
  <c r="D28"/>
  <c r="D18"/>
  <c r="D29"/>
  <c r="D30"/>
  <c r="C13"/>
  <c r="C24"/>
  <c r="C14"/>
  <c r="C25"/>
  <c r="C15"/>
  <c r="C26"/>
  <c r="C16"/>
  <c r="C27"/>
  <c r="C17"/>
  <c r="C28"/>
  <c r="C18"/>
  <c r="C29"/>
  <c r="C30"/>
  <c r="C38"/>
  <c r="B38"/>
  <c r="C37"/>
  <c r="B37"/>
  <c r="D36"/>
  <c r="B36"/>
  <c r="D35"/>
  <c r="C35"/>
  <c r="B35"/>
  <c r="F26" i="4"/>
  <c r="B11" i="10"/>
  <c r="B59" i="3"/>
  <c r="B79"/>
  <c r="B60"/>
  <c r="B80"/>
  <c r="I26" i="4"/>
  <c r="B81" i="3"/>
  <c r="B82"/>
  <c r="B83"/>
  <c r="A71"/>
  <c r="A72"/>
  <c r="A73"/>
  <c r="A74"/>
  <c r="A75"/>
  <c r="A76"/>
  <c r="A77"/>
  <c r="A78"/>
  <c r="A79"/>
  <c r="A80"/>
  <c r="F145" i="8"/>
  <c r="E5" i="14"/>
  <c r="B61" i="3"/>
  <c r="B62"/>
  <c r="B63"/>
  <c r="A51"/>
  <c r="A52"/>
  <c r="A53"/>
  <c r="A54"/>
  <c r="A55"/>
  <c r="A56"/>
  <c r="A57"/>
  <c r="A58"/>
  <c r="A59"/>
  <c r="F129" i="8"/>
  <c r="B45" i="3"/>
  <c r="F113" i="8"/>
  <c r="B36" i="20"/>
  <c r="D17"/>
  <c r="D20"/>
  <c r="D23"/>
  <c r="D16"/>
  <c r="D19"/>
  <c r="D22"/>
  <c r="D18"/>
  <c r="D21"/>
  <c r="D24"/>
  <c r="B11" i="25"/>
  <c r="C10"/>
  <c r="B34" i="1"/>
  <c r="D10" i="25"/>
  <c r="B38" i="1"/>
  <c r="B39"/>
  <c r="E10" i="25"/>
  <c r="C11"/>
  <c r="D11"/>
  <c r="E11"/>
  <c r="E12"/>
  <c r="C3"/>
  <c r="D3"/>
  <c r="E3"/>
  <c r="C4"/>
  <c r="D4"/>
  <c r="E4"/>
  <c r="E5"/>
  <c r="CB25" i="1"/>
  <c r="CC25"/>
  <c r="AE40"/>
  <c r="CB26"/>
  <c r="B4" i="22"/>
  <c r="AF40" i="1"/>
  <c r="CC26"/>
  <c r="AE41"/>
  <c r="CB27"/>
  <c r="B5" i="22"/>
  <c r="AF41" i="1"/>
  <c r="CC27"/>
  <c r="A14" i="23"/>
  <c r="B6" i="22"/>
  <c r="AF42" i="1"/>
  <c r="CC28"/>
  <c r="B7" i="22"/>
  <c r="AF43" i="1"/>
  <c r="CC29"/>
  <c r="E13" i="22"/>
  <c r="E24"/>
  <c r="E14"/>
  <c r="E25"/>
  <c r="E15"/>
  <c r="E26"/>
  <c r="E16"/>
  <c r="E27"/>
  <c r="E17"/>
  <c r="E28"/>
  <c r="E18"/>
  <c r="E29"/>
  <c r="E30"/>
  <c r="B8"/>
  <c r="AF44" i="1"/>
  <c r="CC30"/>
  <c r="BY30"/>
  <c r="R159" i="11"/>
  <c r="S17"/>
  <c r="S18"/>
  <c r="S19"/>
  <c r="S159" a="1"/>
  <c r="S159"/>
  <c r="A124" i="3"/>
  <c r="A110"/>
  <c r="A111"/>
  <c r="A112"/>
  <c r="A113"/>
  <c r="A114"/>
  <c r="A115"/>
  <c r="A116"/>
  <c r="A117"/>
  <c r="A118"/>
  <c r="A119"/>
  <c r="F124" a="1"/>
  <c r="F124"/>
  <c r="N10"/>
  <c r="E9" i="11"/>
  <c r="AC44" i="1"/>
  <c r="BZ30"/>
  <c r="O48" i="11"/>
  <c r="P16"/>
  <c r="P17"/>
  <c r="P18"/>
  <c r="P48" a="1"/>
  <c r="P48"/>
  <c r="AA24" i="8"/>
  <c r="C63"/>
  <c r="C101"/>
  <c r="K124" i="3" a="1"/>
  <c r="K124"/>
  <c r="F10"/>
  <c r="J35" i="1"/>
  <c r="L124" i="3" a="1"/>
  <c r="L124"/>
  <c r="G10"/>
  <c r="K35" i="1"/>
  <c r="M124" i="3" a="1"/>
  <c r="M124"/>
  <c r="H10"/>
  <c r="L35" i="1"/>
  <c r="N118" i="3"/>
  <c r="N119"/>
  <c r="N120"/>
  <c r="N121"/>
  <c r="N122"/>
  <c r="N123"/>
  <c r="N124" a="1"/>
  <c r="N124"/>
  <c r="I10"/>
  <c r="M35" i="1"/>
  <c r="O118" i="3"/>
  <c r="O119"/>
  <c r="O120"/>
  <c r="O121"/>
  <c r="O122"/>
  <c r="O123"/>
  <c r="O124" a="1"/>
  <c r="O124"/>
  <c r="J10"/>
  <c r="N35" i="1"/>
  <c r="P124" i="3" a="1"/>
  <c r="P124"/>
  <c r="K10"/>
  <c r="O35" i="1"/>
  <c r="Q124" i="3" a="1"/>
  <c r="Q124"/>
  <c r="L10"/>
  <c r="P35" i="1"/>
  <c r="B10" i="3"/>
  <c r="Q35" i="1"/>
  <c r="Q36"/>
  <c r="AH27"/>
  <c r="C10" i="3"/>
  <c r="R35" i="1"/>
  <c r="R36"/>
  <c r="AI27"/>
  <c r="D10" i="3"/>
  <c r="S35" i="1"/>
  <c r="S36"/>
  <c r="AJ27"/>
  <c r="AH44"/>
  <c r="CE30"/>
  <c r="A105" i="3"/>
  <c r="AH23" i="1"/>
  <c r="AI23"/>
  <c r="AJ23"/>
  <c r="AH40"/>
  <c r="CE26"/>
  <c r="AB7" i="13"/>
  <c r="AB8"/>
  <c r="AB9"/>
  <c r="AB10"/>
  <c r="AB12"/>
  <c r="AB13"/>
  <c r="AB14"/>
  <c r="AB15"/>
  <c r="AB16"/>
  <c r="AB18"/>
  <c r="AB19"/>
  <c r="AB20"/>
  <c r="AB21"/>
  <c r="AB22"/>
  <c r="AB6"/>
  <c r="BW26" i="1"/>
  <c r="E66" i="3" a="1"/>
  <c r="E66"/>
  <c r="O7"/>
  <c r="F6" i="11"/>
  <c r="G6"/>
  <c r="D25"/>
  <c r="D26"/>
  <c r="D29"/>
  <c r="D44"/>
  <c r="D45"/>
  <c r="H6"/>
  <c r="G7"/>
  <c r="E24"/>
  <c r="E29"/>
  <c r="E44"/>
  <c r="E45"/>
  <c r="G8"/>
  <c r="F24"/>
  <c r="F26"/>
  <c r="G9"/>
  <c r="C5"/>
  <c r="N6" i="3"/>
  <c r="E5" i="11"/>
  <c r="E46" i="3" a="1"/>
  <c r="E46"/>
  <c r="O6"/>
  <c r="F5" i="11"/>
  <c r="G5"/>
  <c r="H5"/>
  <c r="I5"/>
  <c r="H5" i="24"/>
  <c r="I5"/>
  <c r="H6"/>
  <c r="I6"/>
  <c r="H7"/>
  <c r="I7"/>
  <c r="H8"/>
  <c r="I8"/>
  <c r="H9"/>
  <c r="I9"/>
  <c r="H10"/>
  <c r="I10"/>
  <c r="H11"/>
  <c r="I11"/>
  <c r="H12"/>
  <c r="I12"/>
  <c r="H13"/>
  <c r="I13"/>
  <c r="H14"/>
  <c r="I14"/>
  <c r="H15"/>
  <c r="I15"/>
  <c r="H16"/>
  <c r="I16"/>
  <c r="H17"/>
  <c r="I17"/>
  <c r="H18"/>
  <c r="I18"/>
  <c r="H19"/>
  <c r="I19"/>
  <c r="H20"/>
  <c r="I20"/>
  <c r="G6"/>
  <c r="G7"/>
  <c r="G8"/>
  <c r="G9"/>
  <c r="G10"/>
  <c r="G11"/>
  <c r="G12"/>
  <c r="G13"/>
  <c r="G14"/>
  <c r="G15"/>
  <c r="G16"/>
  <c r="G17"/>
  <c r="G18"/>
  <c r="G19"/>
  <c r="G20"/>
  <c r="G5"/>
  <c r="C6"/>
  <c r="C7"/>
  <c r="C8"/>
  <c r="C9"/>
  <c r="C10"/>
  <c r="C11"/>
  <c r="C12"/>
  <c r="C13"/>
  <c r="C14"/>
  <c r="C15"/>
  <c r="C16"/>
  <c r="C17"/>
  <c r="C18"/>
  <c r="C19"/>
  <c r="C20"/>
  <c r="C5"/>
  <c r="J26" i="4"/>
  <c r="J27" a="1"/>
  <c r="J27"/>
  <c r="Q101" i="3"/>
  <c r="D26" i="4"/>
  <c r="E26"/>
  <c r="G26"/>
  <c r="H26"/>
  <c r="C26"/>
  <c r="AY139" i="1"/>
  <c r="BB139"/>
  <c r="BC139"/>
  <c r="BB140"/>
  <c r="BC140"/>
  <c r="BB141"/>
  <c r="BC141"/>
  <c r="BB142"/>
  <c r="BC142"/>
  <c r="BB143"/>
  <c r="BC143"/>
  <c r="X5" i="13"/>
  <c r="Y5"/>
  <c r="N230" i="21"/>
  <c r="M230"/>
  <c r="L230"/>
  <c r="K230"/>
  <c r="J230"/>
  <c r="I230"/>
  <c r="H230"/>
  <c r="N229"/>
  <c r="M229"/>
  <c r="L229"/>
  <c r="K229"/>
  <c r="J229"/>
  <c r="I229"/>
  <c r="H229"/>
  <c r="N228"/>
  <c r="M228"/>
  <c r="L228"/>
  <c r="K228"/>
  <c r="J228"/>
  <c r="I228"/>
  <c r="H228"/>
  <c r="N227"/>
  <c r="M227"/>
  <c r="L227"/>
  <c r="K227"/>
  <c r="J227"/>
  <c r="I227"/>
  <c r="H227"/>
  <c r="N226"/>
  <c r="M226"/>
  <c r="L226"/>
  <c r="K226"/>
  <c r="J226"/>
  <c r="I226"/>
  <c r="H226"/>
  <c r="N225"/>
  <c r="M225"/>
  <c r="L225"/>
  <c r="K225"/>
  <c r="J225"/>
  <c r="I225"/>
  <c r="H225"/>
  <c r="N224"/>
  <c r="M224"/>
  <c r="L224"/>
  <c r="K224"/>
  <c r="J224"/>
  <c r="I224"/>
  <c r="H224"/>
  <c r="N223"/>
  <c r="M223"/>
  <c r="L223"/>
  <c r="K223"/>
  <c r="J223"/>
  <c r="I223"/>
  <c r="H223"/>
  <c r="N222"/>
  <c r="M222"/>
  <c r="L222"/>
  <c r="K222"/>
  <c r="J222"/>
  <c r="I222"/>
  <c r="H222"/>
  <c r="N221"/>
  <c r="M221"/>
  <c r="L221"/>
  <c r="K221"/>
  <c r="J221"/>
  <c r="I221"/>
  <c r="H221"/>
  <c r="N220"/>
  <c r="M220"/>
  <c r="L220"/>
  <c r="K220"/>
  <c r="J220"/>
  <c r="I220"/>
  <c r="H220"/>
  <c r="N219"/>
  <c r="M219"/>
  <c r="L219"/>
  <c r="K219"/>
  <c r="J219"/>
  <c r="I219"/>
  <c r="H219"/>
  <c r="N214"/>
  <c r="M214"/>
  <c r="L214"/>
  <c r="K214"/>
  <c r="J214"/>
  <c r="I214"/>
  <c r="H214"/>
  <c r="N213"/>
  <c r="M213"/>
  <c r="L213"/>
  <c r="K213"/>
  <c r="J213"/>
  <c r="I213"/>
  <c r="H213"/>
  <c r="N212"/>
  <c r="M212"/>
  <c r="L212"/>
  <c r="K212"/>
  <c r="J212"/>
  <c r="I212"/>
  <c r="H212"/>
  <c r="N211"/>
  <c r="M211"/>
  <c r="L211"/>
  <c r="K211"/>
  <c r="J211"/>
  <c r="I211"/>
  <c r="H211"/>
  <c r="N210"/>
  <c r="M210"/>
  <c r="L210"/>
  <c r="K210"/>
  <c r="J210"/>
  <c r="I210"/>
  <c r="H210"/>
  <c r="N209"/>
  <c r="M209"/>
  <c r="L209"/>
  <c r="K209"/>
  <c r="J209"/>
  <c r="I209"/>
  <c r="H209"/>
  <c r="N208"/>
  <c r="M208"/>
  <c r="L208"/>
  <c r="K208"/>
  <c r="J208"/>
  <c r="I208"/>
  <c r="H208"/>
  <c r="N207"/>
  <c r="M207"/>
  <c r="L207"/>
  <c r="K207"/>
  <c r="J207"/>
  <c r="I207"/>
  <c r="H207"/>
  <c r="N206"/>
  <c r="M206"/>
  <c r="L206"/>
  <c r="K206"/>
  <c r="J206"/>
  <c r="I206"/>
  <c r="H206"/>
  <c r="N205"/>
  <c r="M205"/>
  <c r="L205"/>
  <c r="K205"/>
  <c r="J205"/>
  <c r="I205"/>
  <c r="H205"/>
  <c r="N204"/>
  <c r="M204"/>
  <c r="L204"/>
  <c r="K204"/>
  <c r="J204"/>
  <c r="I204"/>
  <c r="H204"/>
  <c r="N203"/>
  <c r="M203"/>
  <c r="L203"/>
  <c r="K203"/>
  <c r="J203"/>
  <c r="I203"/>
  <c r="H203"/>
  <c r="N198"/>
  <c r="M198"/>
  <c r="L198"/>
  <c r="K198"/>
  <c r="J198"/>
  <c r="I198"/>
  <c r="H198"/>
  <c r="N197"/>
  <c r="M197"/>
  <c r="L197"/>
  <c r="K197"/>
  <c r="J197"/>
  <c r="I197"/>
  <c r="H197"/>
  <c r="N196"/>
  <c r="M196"/>
  <c r="L196"/>
  <c r="K196"/>
  <c r="J196"/>
  <c r="I196"/>
  <c r="H196"/>
  <c r="N195"/>
  <c r="M195"/>
  <c r="L195"/>
  <c r="K195"/>
  <c r="J195"/>
  <c r="I195"/>
  <c r="H195"/>
  <c r="N194"/>
  <c r="M194"/>
  <c r="L194"/>
  <c r="K194"/>
  <c r="J194"/>
  <c r="I194"/>
  <c r="H194"/>
  <c r="N193"/>
  <c r="M193"/>
  <c r="L193"/>
  <c r="K193"/>
  <c r="J193"/>
  <c r="I193"/>
  <c r="H193"/>
  <c r="N192"/>
  <c r="M192"/>
  <c r="L192"/>
  <c r="K192"/>
  <c r="J192"/>
  <c r="I192"/>
  <c r="H192"/>
  <c r="N191"/>
  <c r="M191"/>
  <c r="L191"/>
  <c r="K191"/>
  <c r="J191"/>
  <c r="I191"/>
  <c r="H191"/>
  <c r="N190"/>
  <c r="M190"/>
  <c r="L190"/>
  <c r="K190"/>
  <c r="J190"/>
  <c r="I190"/>
  <c r="H190"/>
  <c r="N189"/>
  <c r="M189"/>
  <c r="L189"/>
  <c r="K189"/>
  <c r="J189"/>
  <c r="I189"/>
  <c r="H189"/>
  <c r="N188"/>
  <c r="M188"/>
  <c r="L188"/>
  <c r="K188"/>
  <c r="J188"/>
  <c r="I188"/>
  <c r="H188"/>
  <c r="N187"/>
  <c r="M187"/>
  <c r="L187"/>
  <c r="K187"/>
  <c r="J187"/>
  <c r="I187"/>
  <c r="H187"/>
  <c r="N182"/>
  <c r="M182"/>
  <c r="L182"/>
  <c r="K182"/>
  <c r="J182"/>
  <c r="I182"/>
  <c r="H182"/>
  <c r="N181"/>
  <c r="M181"/>
  <c r="L181"/>
  <c r="K181"/>
  <c r="J181"/>
  <c r="I181"/>
  <c r="H181"/>
  <c r="N180"/>
  <c r="M180"/>
  <c r="L180"/>
  <c r="K180"/>
  <c r="J180"/>
  <c r="I180"/>
  <c r="H180"/>
  <c r="N179"/>
  <c r="M179"/>
  <c r="L179"/>
  <c r="K179"/>
  <c r="J179"/>
  <c r="I179"/>
  <c r="H179"/>
  <c r="N178"/>
  <c r="M178"/>
  <c r="L178"/>
  <c r="K178"/>
  <c r="J178"/>
  <c r="I178"/>
  <c r="H178"/>
  <c r="N177"/>
  <c r="M177"/>
  <c r="L177"/>
  <c r="K177"/>
  <c r="J177"/>
  <c r="I177"/>
  <c r="H177"/>
  <c r="N176"/>
  <c r="M176"/>
  <c r="L176"/>
  <c r="K176"/>
  <c r="J176"/>
  <c r="I176"/>
  <c r="H176"/>
  <c r="N175"/>
  <c r="M175"/>
  <c r="L175"/>
  <c r="K175"/>
  <c r="J175"/>
  <c r="I175"/>
  <c r="H175"/>
  <c r="N174"/>
  <c r="M174"/>
  <c r="L174"/>
  <c r="K174"/>
  <c r="J174"/>
  <c r="I174"/>
  <c r="H174"/>
  <c r="N173"/>
  <c r="M173"/>
  <c r="L173"/>
  <c r="K173"/>
  <c r="J173"/>
  <c r="I173"/>
  <c r="H173"/>
  <c r="N172"/>
  <c r="M172"/>
  <c r="L172"/>
  <c r="K172"/>
  <c r="J172"/>
  <c r="I172"/>
  <c r="H172"/>
  <c r="N171"/>
  <c r="M171"/>
  <c r="L171"/>
  <c r="K171"/>
  <c r="J171"/>
  <c r="I171"/>
  <c r="H171"/>
  <c r="N166"/>
  <c r="M166"/>
  <c r="L166"/>
  <c r="K166"/>
  <c r="J166"/>
  <c r="I166"/>
  <c r="H166"/>
  <c r="N165"/>
  <c r="M165"/>
  <c r="L165"/>
  <c r="K165"/>
  <c r="J165"/>
  <c r="I165"/>
  <c r="H165"/>
  <c r="N164"/>
  <c r="M164"/>
  <c r="L164"/>
  <c r="K164"/>
  <c r="J164"/>
  <c r="I164"/>
  <c r="H164"/>
  <c r="N163"/>
  <c r="M163"/>
  <c r="L163"/>
  <c r="K163"/>
  <c r="J163"/>
  <c r="I163"/>
  <c r="H163"/>
  <c r="N162"/>
  <c r="M162"/>
  <c r="L162"/>
  <c r="K162"/>
  <c r="J162"/>
  <c r="I162"/>
  <c r="H162"/>
  <c r="N161"/>
  <c r="M161"/>
  <c r="L161"/>
  <c r="K161"/>
  <c r="J161"/>
  <c r="I161"/>
  <c r="H161"/>
  <c r="N160"/>
  <c r="M160"/>
  <c r="L160"/>
  <c r="K160"/>
  <c r="J160"/>
  <c r="I160"/>
  <c r="H160"/>
  <c r="N159"/>
  <c r="M159"/>
  <c r="L159"/>
  <c r="K159"/>
  <c r="J159"/>
  <c r="I159"/>
  <c r="H159"/>
  <c r="N158"/>
  <c r="M158"/>
  <c r="L158"/>
  <c r="K158"/>
  <c r="J158"/>
  <c r="I158"/>
  <c r="H158"/>
  <c r="N157"/>
  <c r="M157"/>
  <c r="L157"/>
  <c r="K157"/>
  <c r="J157"/>
  <c r="I157"/>
  <c r="H157"/>
  <c r="N156"/>
  <c r="M156"/>
  <c r="L156"/>
  <c r="K156"/>
  <c r="J156"/>
  <c r="I156"/>
  <c r="H156"/>
  <c r="N155"/>
  <c r="M155"/>
  <c r="L155"/>
  <c r="K155"/>
  <c r="J155"/>
  <c r="I155"/>
  <c r="H155"/>
  <c r="N150"/>
  <c r="M150"/>
  <c r="L150"/>
  <c r="K150"/>
  <c r="J150"/>
  <c r="I150"/>
  <c r="H150"/>
  <c r="N149"/>
  <c r="M149"/>
  <c r="L149"/>
  <c r="K149"/>
  <c r="J149"/>
  <c r="I149"/>
  <c r="H149"/>
  <c r="N148"/>
  <c r="M148"/>
  <c r="L148"/>
  <c r="K148"/>
  <c r="J148"/>
  <c r="I148"/>
  <c r="H148"/>
  <c r="N147"/>
  <c r="M147"/>
  <c r="L147"/>
  <c r="K147"/>
  <c r="J147"/>
  <c r="I147"/>
  <c r="H147"/>
  <c r="N146"/>
  <c r="M146"/>
  <c r="L146"/>
  <c r="K146"/>
  <c r="J146"/>
  <c r="I146"/>
  <c r="H146"/>
  <c r="N145"/>
  <c r="M145"/>
  <c r="L145"/>
  <c r="K145"/>
  <c r="J145"/>
  <c r="I145"/>
  <c r="H145"/>
  <c r="N144"/>
  <c r="M144"/>
  <c r="L144"/>
  <c r="K144"/>
  <c r="J144"/>
  <c r="I144"/>
  <c r="H144"/>
  <c r="N143"/>
  <c r="M143"/>
  <c r="L143"/>
  <c r="K143"/>
  <c r="J143"/>
  <c r="I143"/>
  <c r="H143"/>
  <c r="N142"/>
  <c r="M142"/>
  <c r="L142"/>
  <c r="K142"/>
  <c r="J142"/>
  <c r="I142"/>
  <c r="H142"/>
  <c r="N141"/>
  <c r="M141"/>
  <c r="L141"/>
  <c r="K141"/>
  <c r="J141"/>
  <c r="I141"/>
  <c r="H141"/>
  <c r="N140"/>
  <c r="M140"/>
  <c r="L140"/>
  <c r="K140"/>
  <c r="J140"/>
  <c r="I140"/>
  <c r="H140"/>
  <c r="N139"/>
  <c r="M139"/>
  <c r="L139"/>
  <c r="K139"/>
  <c r="J139"/>
  <c r="I139"/>
  <c r="H139"/>
  <c r="N134"/>
  <c r="M134"/>
  <c r="L134"/>
  <c r="K134"/>
  <c r="J134"/>
  <c r="I134"/>
  <c r="H134"/>
  <c r="N133"/>
  <c r="M133"/>
  <c r="L133"/>
  <c r="K133"/>
  <c r="J133"/>
  <c r="I133"/>
  <c r="H133"/>
  <c r="N132"/>
  <c r="M132"/>
  <c r="L132"/>
  <c r="K132"/>
  <c r="J132"/>
  <c r="I132"/>
  <c r="H132"/>
  <c r="N131"/>
  <c r="M131"/>
  <c r="L131"/>
  <c r="K131"/>
  <c r="J131"/>
  <c r="I131"/>
  <c r="H131"/>
  <c r="N130"/>
  <c r="M130"/>
  <c r="L130"/>
  <c r="K130"/>
  <c r="J130"/>
  <c r="I130"/>
  <c r="H130"/>
  <c r="N129"/>
  <c r="M129"/>
  <c r="L129"/>
  <c r="K129"/>
  <c r="J129"/>
  <c r="I129"/>
  <c r="H129"/>
  <c r="N128"/>
  <c r="M128"/>
  <c r="L128"/>
  <c r="K128"/>
  <c r="J128"/>
  <c r="I128"/>
  <c r="H128"/>
  <c r="N127"/>
  <c r="M127"/>
  <c r="L127"/>
  <c r="K127"/>
  <c r="J127"/>
  <c r="I127"/>
  <c r="H127"/>
  <c r="N126"/>
  <c r="M126"/>
  <c r="L126"/>
  <c r="K126"/>
  <c r="J126"/>
  <c r="I126"/>
  <c r="H126"/>
  <c r="N125"/>
  <c r="M125"/>
  <c r="L125"/>
  <c r="K125"/>
  <c r="J125"/>
  <c r="I125"/>
  <c r="H125"/>
  <c r="N124"/>
  <c r="M124"/>
  <c r="L124"/>
  <c r="K124"/>
  <c r="J124"/>
  <c r="I124"/>
  <c r="H124"/>
  <c r="N123"/>
  <c r="M123"/>
  <c r="L123"/>
  <c r="K123"/>
  <c r="J123"/>
  <c r="I123"/>
  <c r="H123"/>
  <c r="N118"/>
  <c r="M118"/>
  <c r="L118"/>
  <c r="K118"/>
  <c r="J118"/>
  <c r="I118"/>
  <c r="H118"/>
  <c r="N117"/>
  <c r="M117"/>
  <c r="L117"/>
  <c r="K117"/>
  <c r="J117"/>
  <c r="I117"/>
  <c r="H117"/>
  <c r="N116"/>
  <c r="M116"/>
  <c r="L116"/>
  <c r="K116"/>
  <c r="J116"/>
  <c r="I116"/>
  <c r="H116"/>
  <c r="N115"/>
  <c r="M115"/>
  <c r="L115"/>
  <c r="K115"/>
  <c r="J115"/>
  <c r="I115"/>
  <c r="H115"/>
  <c r="N114"/>
  <c r="M114"/>
  <c r="L114"/>
  <c r="K114"/>
  <c r="J114"/>
  <c r="I114"/>
  <c r="H114"/>
  <c r="N113"/>
  <c r="M113"/>
  <c r="L113"/>
  <c r="K113"/>
  <c r="J113"/>
  <c r="I113"/>
  <c r="H113"/>
  <c r="N112"/>
  <c r="M112"/>
  <c r="L112"/>
  <c r="K112"/>
  <c r="J112"/>
  <c r="I112"/>
  <c r="H112"/>
  <c r="N111"/>
  <c r="M111"/>
  <c r="L111"/>
  <c r="K111"/>
  <c r="J111"/>
  <c r="I111"/>
  <c r="H111"/>
  <c r="N110"/>
  <c r="M110"/>
  <c r="L110"/>
  <c r="K110"/>
  <c r="J110"/>
  <c r="I110"/>
  <c r="H110"/>
  <c r="N109"/>
  <c r="M109"/>
  <c r="L109"/>
  <c r="K109"/>
  <c r="J109"/>
  <c r="I109"/>
  <c r="H109"/>
  <c r="N108"/>
  <c r="M108"/>
  <c r="L108"/>
  <c r="K108"/>
  <c r="J108"/>
  <c r="I108"/>
  <c r="H108"/>
  <c r="N107"/>
  <c r="M107"/>
  <c r="L107"/>
  <c r="K107"/>
  <c r="J107"/>
  <c r="I107"/>
  <c r="H107"/>
  <c r="N102"/>
  <c r="M102"/>
  <c r="L102"/>
  <c r="K102"/>
  <c r="J102"/>
  <c r="I102"/>
  <c r="H102"/>
  <c r="N101"/>
  <c r="M101"/>
  <c r="L101"/>
  <c r="K101"/>
  <c r="J101"/>
  <c r="I101"/>
  <c r="H101"/>
  <c r="N100"/>
  <c r="M100"/>
  <c r="L100"/>
  <c r="K100"/>
  <c r="J100"/>
  <c r="I100"/>
  <c r="H100"/>
  <c r="N99"/>
  <c r="M99"/>
  <c r="L99"/>
  <c r="K99"/>
  <c r="J99"/>
  <c r="I99"/>
  <c r="H99"/>
  <c r="N98"/>
  <c r="M98"/>
  <c r="L98"/>
  <c r="K98"/>
  <c r="J98"/>
  <c r="I98"/>
  <c r="H98"/>
  <c r="N97"/>
  <c r="M97"/>
  <c r="L97"/>
  <c r="K97"/>
  <c r="J97"/>
  <c r="I97"/>
  <c r="H97"/>
  <c r="N96"/>
  <c r="M96"/>
  <c r="L96"/>
  <c r="K96"/>
  <c r="J96"/>
  <c r="I96"/>
  <c r="H96"/>
  <c r="N95"/>
  <c r="M95"/>
  <c r="L95"/>
  <c r="K95"/>
  <c r="J95"/>
  <c r="I95"/>
  <c r="H95"/>
  <c r="N94"/>
  <c r="M94"/>
  <c r="L94"/>
  <c r="K94"/>
  <c r="J94"/>
  <c r="I94"/>
  <c r="H94"/>
  <c r="N93"/>
  <c r="M93"/>
  <c r="L93"/>
  <c r="K93"/>
  <c r="J93"/>
  <c r="I93"/>
  <c r="H93"/>
  <c r="N92"/>
  <c r="M92"/>
  <c r="L92"/>
  <c r="K92"/>
  <c r="J92"/>
  <c r="I92"/>
  <c r="H92"/>
  <c r="N91"/>
  <c r="M91"/>
  <c r="L91"/>
  <c r="K91"/>
  <c r="J91"/>
  <c r="I91"/>
  <c r="H91"/>
  <c r="N76"/>
  <c r="M76"/>
  <c r="L76"/>
  <c r="K76"/>
  <c r="J76"/>
  <c r="I76"/>
  <c r="H76"/>
  <c r="N75"/>
  <c r="M75"/>
  <c r="L75"/>
  <c r="K75"/>
  <c r="J75"/>
  <c r="I75"/>
  <c r="H75"/>
  <c r="N74"/>
  <c r="M74"/>
  <c r="L74"/>
  <c r="K74"/>
  <c r="J74"/>
  <c r="I74"/>
  <c r="H74"/>
  <c r="N73"/>
  <c r="M73"/>
  <c r="L73"/>
  <c r="K73"/>
  <c r="J73"/>
  <c r="I73"/>
  <c r="H73"/>
  <c r="N72"/>
  <c r="M72"/>
  <c r="L72"/>
  <c r="K72"/>
  <c r="J72"/>
  <c r="I72"/>
  <c r="H72"/>
  <c r="N71"/>
  <c r="M71"/>
  <c r="L71"/>
  <c r="K71"/>
  <c r="J71"/>
  <c r="I71"/>
  <c r="H71"/>
  <c r="N70"/>
  <c r="M70"/>
  <c r="L70"/>
  <c r="K70"/>
  <c r="J70"/>
  <c r="I70"/>
  <c r="H70"/>
  <c r="N69"/>
  <c r="M69"/>
  <c r="L69"/>
  <c r="K69"/>
  <c r="J69"/>
  <c r="I69"/>
  <c r="H69"/>
  <c r="N68"/>
  <c r="M68"/>
  <c r="L68"/>
  <c r="K68"/>
  <c r="J68"/>
  <c r="I68"/>
  <c r="H68"/>
  <c r="N67"/>
  <c r="M67"/>
  <c r="L67"/>
  <c r="K67"/>
  <c r="J67"/>
  <c r="I67"/>
  <c r="H67"/>
  <c r="N66"/>
  <c r="M66"/>
  <c r="L66"/>
  <c r="K66"/>
  <c r="J66"/>
  <c r="I66"/>
  <c r="H66"/>
  <c r="N65"/>
  <c r="M65"/>
  <c r="L65"/>
  <c r="K65"/>
  <c r="J65"/>
  <c r="I65"/>
  <c r="H65"/>
  <c r="N60"/>
  <c r="M60"/>
  <c r="L60"/>
  <c r="K60"/>
  <c r="J60"/>
  <c r="I60"/>
  <c r="H60"/>
  <c r="N59"/>
  <c r="M59"/>
  <c r="L59"/>
  <c r="K59"/>
  <c r="J59"/>
  <c r="I59"/>
  <c r="H59"/>
  <c r="N58"/>
  <c r="M58"/>
  <c r="L58"/>
  <c r="K58"/>
  <c r="J58"/>
  <c r="I58"/>
  <c r="H58"/>
  <c r="N57"/>
  <c r="M57"/>
  <c r="L57"/>
  <c r="K57"/>
  <c r="J57"/>
  <c r="I57"/>
  <c r="H57"/>
  <c r="N56"/>
  <c r="M56"/>
  <c r="L56"/>
  <c r="K56"/>
  <c r="J56"/>
  <c r="I56"/>
  <c r="H56"/>
  <c r="N55"/>
  <c r="M55"/>
  <c r="L55"/>
  <c r="K55"/>
  <c r="J55"/>
  <c r="I55"/>
  <c r="H55"/>
  <c r="N54"/>
  <c r="M54"/>
  <c r="L54"/>
  <c r="K54"/>
  <c r="J54"/>
  <c r="I54"/>
  <c r="H54"/>
  <c r="N53"/>
  <c r="M53"/>
  <c r="L53"/>
  <c r="K53"/>
  <c r="J53"/>
  <c r="I53"/>
  <c r="H53"/>
  <c r="N52"/>
  <c r="M52"/>
  <c r="L52"/>
  <c r="K52"/>
  <c r="J52"/>
  <c r="I52"/>
  <c r="H52"/>
  <c r="N51"/>
  <c r="M51"/>
  <c r="L51"/>
  <c r="K51"/>
  <c r="J51"/>
  <c r="I51"/>
  <c r="H51"/>
  <c r="N50"/>
  <c r="M50"/>
  <c r="L50"/>
  <c r="K50"/>
  <c r="J50"/>
  <c r="I50"/>
  <c r="H50"/>
  <c r="N49"/>
  <c r="M49"/>
  <c r="L49"/>
  <c r="K49"/>
  <c r="J49"/>
  <c r="I49"/>
  <c r="H49"/>
  <c r="N44"/>
  <c r="M44"/>
  <c r="L44"/>
  <c r="K44"/>
  <c r="J44"/>
  <c r="I44"/>
  <c r="H44"/>
  <c r="N43"/>
  <c r="M43"/>
  <c r="L43"/>
  <c r="K43"/>
  <c r="J43"/>
  <c r="I43"/>
  <c r="H43"/>
  <c r="N42"/>
  <c r="M42"/>
  <c r="L42"/>
  <c r="K42"/>
  <c r="J42"/>
  <c r="I42"/>
  <c r="H42"/>
  <c r="N41"/>
  <c r="M41"/>
  <c r="L41"/>
  <c r="K41"/>
  <c r="J41"/>
  <c r="I41"/>
  <c r="H41"/>
  <c r="N40"/>
  <c r="M40"/>
  <c r="L40"/>
  <c r="K40"/>
  <c r="J40"/>
  <c r="I40"/>
  <c r="H40"/>
  <c r="N39"/>
  <c r="M39"/>
  <c r="L39"/>
  <c r="K39"/>
  <c r="J39"/>
  <c r="I39"/>
  <c r="H39"/>
  <c r="N38"/>
  <c r="M38"/>
  <c r="L38"/>
  <c r="K38"/>
  <c r="J38"/>
  <c r="I38"/>
  <c r="H38"/>
  <c r="N37"/>
  <c r="M37"/>
  <c r="L37"/>
  <c r="K37"/>
  <c r="J37"/>
  <c r="I37"/>
  <c r="H37"/>
  <c r="N36"/>
  <c r="M36"/>
  <c r="L36"/>
  <c r="K36"/>
  <c r="J36"/>
  <c r="I36"/>
  <c r="H36"/>
  <c r="N35"/>
  <c r="M35"/>
  <c r="L35"/>
  <c r="K35"/>
  <c r="J35"/>
  <c r="I35"/>
  <c r="H35"/>
  <c r="N34"/>
  <c r="M34"/>
  <c r="L34"/>
  <c r="K34"/>
  <c r="J34"/>
  <c r="I34"/>
  <c r="H34"/>
  <c r="N33"/>
  <c r="M33"/>
  <c r="L33"/>
  <c r="K33"/>
  <c r="J33"/>
  <c r="I33"/>
  <c r="H33"/>
  <c r="AA5" i="13"/>
  <c r="BR74" i="1"/>
  <c r="BU74"/>
  <c r="BV74"/>
  <c r="BU75"/>
  <c r="BV75"/>
  <c r="BU76"/>
  <c r="BV76"/>
  <c r="BU77"/>
  <c r="BV77"/>
  <c r="BU78"/>
  <c r="BV78"/>
  <c r="BR80"/>
  <c r="BU80"/>
  <c r="BV80"/>
  <c r="BU81"/>
  <c r="BV81"/>
  <c r="BU82"/>
  <c r="BV82"/>
  <c r="BU83"/>
  <c r="BV83"/>
  <c r="BU84"/>
  <c r="BV84"/>
  <c r="BE42"/>
  <c r="BF42"/>
  <c r="BG42"/>
  <c r="BH42"/>
  <c r="BI42"/>
  <c r="BJ42"/>
  <c r="BK42"/>
  <c r="BL42"/>
  <c r="BM42"/>
  <c r="BN42"/>
  <c r="BC137"/>
  <c r="BB137"/>
  <c r="BC136"/>
  <c r="BB136"/>
  <c r="BC135"/>
  <c r="BB135"/>
  <c r="BC134"/>
  <c r="BB134"/>
  <c r="BC133"/>
  <c r="BB133"/>
  <c r="BC131"/>
  <c r="BB131"/>
  <c r="BC130"/>
  <c r="BB130"/>
  <c r="BC129"/>
  <c r="BB129"/>
  <c r="BC128"/>
  <c r="BB128"/>
  <c r="BC127"/>
  <c r="BB127"/>
  <c r="AS109"/>
  <c r="AT109"/>
  <c r="AW109"/>
  <c r="AV109"/>
  <c r="AT103"/>
  <c r="AS103"/>
  <c r="AW103"/>
  <c r="AV103"/>
  <c r="AT97"/>
  <c r="AW97"/>
  <c r="AS97"/>
  <c r="AV97"/>
  <c r="AI57"/>
  <c r="AJ57"/>
  <c r="AK57"/>
  <c r="AI58"/>
  <c r="AJ58"/>
  <c r="AK58"/>
  <c r="AI59"/>
  <c r="AJ59"/>
  <c r="AK59"/>
  <c r="AI60"/>
  <c r="AJ60"/>
  <c r="AK60"/>
  <c r="AI61"/>
  <c r="AJ61"/>
  <c r="AK61"/>
  <c r="AI62"/>
  <c r="AJ62"/>
  <c r="AK62"/>
  <c r="AI63"/>
  <c r="AJ63"/>
  <c r="AK63"/>
  <c r="AI64"/>
  <c r="AJ64"/>
  <c r="AK64"/>
  <c r="AI65"/>
  <c r="AJ65"/>
  <c r="AK65"/>
  <c r="AI66"/>
  <c r="AJ66"/>
  <c r="AK66"/>
  <c r="AI67"/>
  <c r="AJ67"/>
  <c r="AK67"/>
  <c r="AI68"/>
  <c r="AJ68"/>
  <c r="AK68"/>
  <c r="AI69"/>
  <c r="AJ69"/>
  <c r="AK69"/>
  <c r="AI70"/>
  <c r="AJ70"/>
  <c r="AK70"/>
  <c r="AI71"/>
  <c r="AJ71"/>
  <c r="AK71"/>
  <c r="AI72"/>
  <c r="AJ72"/>
  <c r="AK72"/>
  <c r="AI73"/>
  <c r="AJ73"/>
  <c r="AK73"/>
  <c r="AI74"/>
  <c r="AJ74"/>
  <c r="AK74"/>
  <c r="AI75"/>
  <c r="AJ75"/>
  <c r="AK75"/>
  <c r="AI76"/>
  <c r="AJ76"/>
  <c r="AK76"/>
  <c r="AI77"/>
  <c r="AJ77"/>
  <c r="AK77"/>
  <c r="AA22"/>
  <c r="AB22"/>
  <c r="AC22"/>
  <c r="AD22"/>
  <c r="AE22"/>
  <c r="AF22"/>
  <c r="AG22"/>
  <c r="AH22"/>
  <c r="AI22"/>
  <c r="AJ22"/>
  <c r="Z22"/>
  <c r="BV90"/>
  <c r="BU90"/>
  <c r="BV89"/>
  <c r="BU89"/>
  <c r="BV88"/>
  <c r="BU88"/>
  <c r="BV87"/>
  <c r="BU87"/>
  <c r="BV86"/>
  <c r="BU86"/>
  <c r="I44"/>
  <c r="AD6"/>
  <c r="AC6"/>
  <c r="AB6"/>
  <c r="AA6"/>
  <c r="Z6"/>
  <c r="T5" i="13"/>
  <c r="U5"/>
  <c r="V5"/>
  <c r="W5"/>
  <c r="Z5"/>
  <c r="S5"/>
  <c r="C12"/>
  <c r="C18"/>
  <c r="R10"/>
  <c r="R16"/>
  <c r="R22"/>
  <c r="C16"/>
  <c r="C22"/>
  <c r="C15"/>
  <c r="C21"/>
  <c r="R8"/>
  <c r="R14"/>
  <c r="R20"/>
  <c r="C14"/>
  <c r="C20"/>
  <c r="C13"/>
  <c r="C19"/>
  <c r="R6"/>
  <c r="R12"/>
  <c r="R18"/>
  <c r="R9"/>
  <c r="R15"/>
  <c r="R21"/>
  <c r="R7"/>
  <c r="R13"/>
  <c r="R19"/>
  <c r="D62" i="20"/>
  <c r="E62"/>
  <c r="C62"/>
  <c r="C52"/>
  <c r="D52"/>
  <c r="E52"/>
  <c r="F52"/>
  <c r="G52"/>
  <c r="H52"/>
  <c r="B53"/>
  <c r="B54"/>
  <c r="B55"/>
  <c r="C51"/>
  <c r="F51"/>
  <c r="C22"/>
  <c r="C23"/>
  <c r="C24"/>
  <c r="Y8" i="1"/>
  <c r="Y9"/>
  <c r="Y10"/>
  <c r="Y11"/>
  <c r="Y7"/>
  <c r="B8" i="4"/>
  <c r="B9"/>
  <c r="B10"/>
  <c r="B11"/>
  <c r="B12"/>
  <c r="B13"/>
  <c r="B14"/>
  <c r="B15"/>
  <c r="B16"/>
  <c r="B17"/>
  <c r="B18"/>
  <c r="B19"/>
  <c r="B20"/>
  <c r="B21"/>
  <c r="B22"/>
  <c r="B23"/>
  <c r="B24"/>
  <c r="B25"/>
  <c r="B7"/>
  <c r="BV72" i="1"/>
  <c r="BU72"/>
  <c r="BV71"/>
  <c r="BU71"/>
  <c r="BV70"/>
  <c r="BU70"/>
  <c r="BV69"/>
  <c r="BU69"/>
  <c r="BV68"/>
  <c r="BU68"/>
  <c r="BR68"/>
  <c r="BV66"/>
  <c r="BU66"/>
  <c r="BV65"/>
  <c r="BU65"/>
  <c r="BV64"/>
  <c r="BU64"/>
  <c r="BV63"/>
  <c r="BU63"/>
  <c r="BV62"/>
  <c r="BU62"/>
  <c r="BR62"/>
  <c r="BV60"/>
  <c r="BU60"/>
  <c r="BV59"/>
  <c r="BU59"/>
  <c r="BV58"/>
  <c r="BU58"/>
  <c r="BV57"/>
  <c r="BU57"/>
  <c r="BV56"/>
  <c r="BU56"/>
  <c r="BR56"/>
  <c r="BV54"/>
  <c r="BV131"/>
  <c r="BU54"/>
  <c r="BU131"/>
  <c r="BV53"/>
  <c r="BV130"/>
  <c r="BU53"/>
  <c r="BU130"/>
  <c r="BV52"/>
  <c r="BV129"/>
  <c r="BU52"/>
  <c r="BU129"/>
  <c r="BV51"/>
  <c r="BV128"/>
  <c r="BU51"/>
  <c r="BU128"/>
  <c r="BV50"/>
  <c r="BV127"/>
  <c r="BU50"/>
  <c r="BU127"/>
  <c r="BR50"/>
  <c r="BR127"/>
  <c r="BV48"/>
  <c r="BV125"/>
  <c r="BU48"/>
  <c r="BU125"/>
  <c r="BV47"/>
  <c r="BV124"/>
  <c r="BU47"/>
  <c r="BU124"/>
  <c r="BV46"/>
  <c r="BV123"/>
  <c r="BU46"/>
  <c r="BU123"/>
  <c r="BV45"/>
  <c r="BV122"/>
  <c r="BU45"/>
  <c r="BU122"/>
  <c r="BV44"/>
  <c r="BV121"/>
  <c r="BU44"/>
  <c r="BU121"/>
  <c r="BR44"/>
  <c r="BR121"/>
  <c r="BV42"/>
  <c r="BU42"/>
  <c r="BV41"/>
  <c r="BU41"/>
  <c r="BV40"/>
  <c r="BU40"/>
  <c r="BV39"/>
  <c r="BU39"/>
  <c r="BV38"/>
  <c r="BU38"/>
  <c r="BR38"/>
  <c r="BV36"/>
  <c r="BU36"/>
  <c r="BU137"/>
  <c r="BV35"/>
  <c r="BU35"/>
  <c r="BU136"/>
  <c r="BV34"/>
  <c r="BU34"/>
  <c r="BU135"/>
  <c r="BV33"/>
  <c r="BU33"/>
  <c r="BU134"/>
  <c r="BV32"/>
  <c r="BU32"/>
  <c r="BU133"/>
  <c r="BR32"/>
  <c r="BR133"/>
  <c r="BS27"/>
  <c r="BS28"/>
  <c r="BS117"/>
  <c r="BS29"/>
  <c r="BS118"/>
  <c r="BS30"/>
  <c r="BS116"/>
  <c r="BS26"/>
  <c r="BS115"/>
  <c r="BX25"/>
  <c r="BX114"/>
  <c r="BY25"/>
  <c r="BZ25"/>
  <c r="BZ114"/>
  <c r="CA25"/>
  <c r="CA114"/>
  <c r="CD25"/>
  <c r="CD114"/>
  <c r="BW25"/>
  <c r="BW114"/>
  <c r="BR115"/>
  <c r="CG114"/>
  <c r="CF114"/>
  <c r="BY114"/>
  <c r="BV114"/>
  <c r="BU114"/>
  <c r="BT114"/>
  <c r="BS119"/>
  <c r="AW61"/>
  <c r="AV61"/>
  <c r="BB187"/>
  <c r="BC187"/>
  <c r="BO187"/>
  <c r="BP187"/>
  <c r="BA187"/>
  <c r="AY188"/>
  <c r="BE187"/>
  <c r="BF187"/>
  <c r="BG187"/>
  <c r="BH187"/>
  <c r="BI187"/>
  <c r="BJ187"/>
  <c r="BK187"/>
  <c r="BD42"/>
  <c r="BD187"/>
  <c r="BC125"/>
  <c r="BB125"/>
  <c r="BC124"/>
  <c r="BB124"/>
  <c r="BC123"/>
  <c r="BB123"/>
  <c r="BC122"/>
  <c r="BB122"/>
  <c r="BC121"/>
  <c r="BB121"/>
  <c r="BC119"/>
  <c r="BB119"/>
  <c r="BC118"/>
  <c r="BB118"/>
  <c r="BC117"/>
  <c r="BB117"/>
  <c r="BC116"/>
  <c r="BB116"/>
  <c r="BC115"/>
  <c r="BB115"/>
  <c r="BC113"/>
  <c r="BC204"/>
  <c r="BB113"/>
  <c r="BB204"/>
  <c r="BC112"/>
  <c r="BC203"/>
  <c r="BB112"/>
  <c r="BB203"/>
  <c r="BC111"/>
  <c r="BC202"/>
  <c r="BB111"/>
  <c r="BB202"/>
  <c r="BC110"/>
  <c r="BC201"/>
  <c r="BB110"/>
  <c r="BB201"/>
  <c r="BC109"/>
  <c r="BC200"/>
  <c r="BB109"/>
  <c r="BB200"/>
  <c r="AY200"/>
  <c r="BC107"/>
  <c r="BC210"/>
  <c r="BB107"/>
  <c r="BB210"/>
  <c r="BC106"/>
  <c r="BC209"/>
  <c r="BB106"/>
  <c r="BB209"/>
  <c r="BC105"/>
  <c r="BC208"/>
  <c r="BB105"/>
  <c r="BB208"/>
  <c r="BC104"/>
  <c r="BC207"/>
  <c r="BB104"/>
  <c r="BB207"/>
  <c r="BC103"/>
  <c r="BC206"/>
  <c r="BB103"/>
  <c r="BB206"/>
  <c r="AY206"/>
  <c r="BC101"/>
  <c r="BB101"/>
  <c r="BC100"/>
  <c r="BB100"/>
  <c r="BC99"/>
  <c r="BB99"/>
  <c r="BC98"/>
  <c r="BB98"/>
  <c r="BC97"/>
  <c r="BB97"/>
  <c r="BC95"/>
  <c r="BB95"/>
  <c r="BC94"/>
  <c r="BB94"/>
  <c r="BC93"/>
  <c r="BB93"/>
  <c r="BC92"/>
  <c r="BB92"/>
  <c r="BC91"/>
  <c r="BB91"/>
  <c r="BC89"/>
  <c r="BB89"/>
  <c r="BC88"/>
  <c r="BB88"/>
  <c r="BC87"/>
  <c r="BB87"/>
  <c r="BC86"/>
  <c r="BB86"/>
  <c r="BC85"/>
  <c r="BB85"/>
  <c r="BC83"/>
  <c r="BB83"/>
  <c r="BC82"/>
  <c r="BB82"/>
  <c r="BC81"/>
  <c r="BB81"/>
  <c r="BC80"/>
  <c r="BB80"/>
  <c r="BC79"/>
  <c r="BB79"/>
  <c r="BC53"/>
  <c r="BC198"/>
  <c r="BB53"/>
  <c r="BB198"/>
  <c r="BC52"/>
  <c r="BC197"/>
  <c r="BB52"/>
  <c r="BB197"/>
  <c r="BC51"/>
  <c r="BC196"/>
  <c r="BB51"/>
  <c r="BB196"/>
  <c r="BC50"/>
  <c r="BC195"/>
  <c r="BB50"/>
  <c r="BB195"/>
  <c r="BC49"/>
  <c r="BC194"/>
  <c r="BB49"/>
  <c r="BB194"/>
  <c r="AY49"/>
  <c r="AY194"/>
  <c r="BC77"/>
  <c r="BB77"/>
  <c r="BC76"/>
  <c r="BB76"/>
  <c r="BC75"/>
  <c r="BB75"/>
  <c r="BC74"/>
  <c r="BB74"/>
  <c r="BC73"/>
  <c r="BB73"/>
  <c r="BC71"/>
  <c r="BB71"/>
  <c r="BC70"/>
  <c r="BB70"/>
  <c r="BC69"/>
  <c r="BB69"/>
  <c r="BC68"/>
  <c r="BB68"/>
  <c r="BC67"/>
  <c r="BB67"/>
  <c r="BC65"/>
  <c r="BB65"/>
  <c r="BC64"/>
  <c r="BB64"/>
  <c r="BC63"/>
  <c r="BB63"/>
  <c r="BC62"/>
  <c r="BB62"/>
  <c r="BC61"/>
  <c r="BB61"/>
  <c r="BB55"/>
  <c r="BC55"/>
  <c r="BB56"/>
  <c r="BC56"/>
  <c r="BB57"/>
  <c r="BC57"/>
  <c r="BB58"/>
  <c r="BC58"/>
  <c r="BB59"/>
  <c r="BC59"/>
  <c r="AT85"/>
  <c r="AW85"/>
  <c r="AS85"/>
  <c r="AV85"/>
  <c r="AT79"/>
  <c r="AW79"/>
  <c r="AS79"/>
  <c r="AV79"/>
  <c r="AT73"/>
  <c r="AW73"/>
  <c r="AS73"/>
  <c r="AV73"/>
  <c r="AT91"/>
  <c r="AW91"/>
  <c r="AS91"/>
  <c r="AV91"/>
  <c r="AS55"/>
  <c r="AV55"/>
  <c r="AT55"/>
  <c r="AW55"/>
  <c r="AQ56"/>
  <c r="AQ57"/>
  <c r="AQ58"/>
  <c r="AQ59"/>
  <c r="AQ60"/>
  <c r="AQ102"/>
  <c r="AQ12"/>
  <c r="AZ53"/>
  <c r="AZ198"/>
  <c r="AS7"/>
  <c r="AV7"/>
  <c r="AT7"/>
  <c r="AW7"/>
  <c r="AS13"/>
  <c r="AV13"/>
  <c r="AT13"/>
  <c r="AW13"/>
  <c r="AS19"/>
  <c r="AV19"/>
  <c r="AT19"/>
  <c r="AW19"/>
  <c r="AS25"/>
  <c r="AV25"/>
  <c r="AT25"/>
  <c r="AW25"/>
  <c r="AS31"/>
  <c r="AV31"/>
  <c r="AT31"/>
  <c r="AW31"/>
  <c r="AS37"/>
  <c r="AV37"/>
  <c r="AT37"/>
  <c r="AW37"/>
  <c r="AS43"/>
  <c r="AV43"/>
  <c r="AT43"/>
  <c r="AW43"/>
  <c r="AS49"/>
  <c r="AV49"/>
  <c r="AT49"/>
  <c r="AW49"/>
  <c r="AS67"/>
  <c r="AV67"/>
  <c r="AT67"/>
  <c r="AW67"/>
  <c r="AB40"/>
  <c r="D175" i="8"/>
  <c r="D194"/>
  <c r="D176"/>
  <c r="D195"/>
  <c r="D177"/>
  <c r="D196"/>
  <c r="D178"/>
  <c r="D197"/>
  <c r="D174"/>
  <c r="D193"/>
  <c r="D161"/>
  <c r="D180"/>
  <c r="D199"/>
  <c r="D162"/>
  <c r="D181"/>
  <c r="D200"/>
  <c r="D163"/>
  <c r="D168"/>
  <c r="D187"/>
  <c r="D206"/>
  <c r="D164"/>
  <c r="D183"/>
  <c r="D202"/>
  <c r="D166"/>
  <c r="D185"/>
  <c r="D204"/>
  <c r="D167"/>
  <c r="D186"/>
  <c r="D205"/>
  <c r="D169"/>
  <c r="D188"/>
  <c r="D207"/>
  <c r="D160"/>
  <c r="D165"/>
  <c r="D184"/>
  <c r="D203"/>
  <c r="C169"/>
  <c r="C188"/>
  <c r="C207"/>
  <c r="C164"/>
  <c r="C183"/>
  <c r="C159"/>
  <c r="C178"/>
  <c r="C197"/>
  <c r="C208"/>
  <c r="C189"/>
  <c r="C170"/>
  <c r="C150"/>
  <c r="C134"/>
  <c r="C118"/>
  <c r="C168"/>
  <c r="C187"/>
  <c r="C167"/>
  <c r="C186"/>
  <c r="C205"/>
  <c r="C166"/>
  <c r="C185"/>
  <c r="C165"/>
  <c r="C184"/>
  <c r="C203"/>
  <c r="C163"/>
  <c r="C182"/>
  <c r="C201"/>
  <c r="C162"/>
  <c r="C181"/>
  <c r="C161"/>
  <c r="C180"/>
  <c r="C199"/>
  <c r="C160"/>
  <c r="C179"/>
  <c r="C158"/>
  <c r="C177"/>
  <c r="C157"/>
  <c r="C176"/>
  <c r="C195"/>
  <c r="C156"/>
  <c r="C175"/>
  <c r="C155"/>
  <c r="C174"/>
  <c r="C149"/>
  <c r="C148"/>
  <c r="C147"/>
  <c r="C146"/>
  <c r="C145"/>
  <c r="C144"/>
  <c r="C143"/>
  <c r="C142"/>
  <c r="C141"/>
  <c r="C140"/>
  <c r="C139"/>
  <c r="C138"/>
  <c r="D123"/>
  <c r="D139"/>
  <c r="D124"/>
  <c r="D140"/>
  <c r="D125"/>
  <c r="D141"/>
  <c r="D122"/>
  <c r="C133"/>
  <c r="C132"/>
  <c r="C131"/>
  <c r="C130"/>
  <c r="C129"/>
  <c r="C128"/>
  <c r="C127"/>
  <c r="C126"/>
  <c r="C125"/>
  <c r="C124"/>
  <c r="C123"/>
  <c r="C122"/>
  <c r="D111"/>
  <c r="D127"/>
  <c r="D143"/>
  <c r="D112"/>
  <c r="D113"/>
  <c r="D129"/>
  <c r="D145"/>
  <c r="D116"/>
  <c r="D110"/>
  <c r="C115"/>
  <c r="C116"/>
  <c r="C117"/>
  <c r="C114"/>
  <c r="C111"/>
  <c r="C112"/>
  <c r="C113"/>
  <c r="C110"/>
  <c r="C107"/>
  <c r="C108"/>
  <c r="C109"/>
  <c r="C106"/>
  <c r="BS72" i="1"/>
  <c r="BY26"/>
  <c r="BY115"/>
  <c r="BV133"/>
  <c r="BV134"/>
  <c r="BV135"/>
  <c r="BV136"/>
  <c r="BV137"/>
  <c r="AZ47"/>
  <c r="AZ192"/>
  <c r="AZ125"/>
  <c r="AZ98"/>
  <c r="AZ100"/>
  <c r="AZ97"/>
  <c r="AZ99"/>
  <c r="AZ101"/>
  <c r="AQ94"/>
  <c r="BS64"/>
  <c r="AQ100"/>
  <c r="BS70"/>
  <c r="AQ96"/>
  <c r="BS66"/>
  <c r="AQ92"/>
  <c r="BS62"/>
  <c r="AQ98"/>
  <c r="BS68"/>
  <c r="AQ95"/>
  <c r="BS65"/>
  <c r="AQ93"/>
  <c r="BS63"/>
  <c r="AQ101"/>
  <c r="BS71"/>
  <c r="AQ99"/>
  <c r="BS69"/>
  <c r="AQ24"/>
  <c r="C194" i="8"/>
  <c r="C196"/>
  <c r="C204"/>
  <c r="C206"/>
  <c r="C202"/>
  <c r="C193"/>
  <c r="C198"/>
  <c r="C200"/>
  <c r="D182"/>
  <c r="D201"/>
  <c r="D179"/>
  <c r="D198"/>
  <c r="D117"/>
  <c r="D115"/>
  <c r="D114"/>
  <c r="D132"/>
  <c r="D148"/>
  <c r="D128"/>
  <c r="D144"/>
  <c r="D126"/>
  <c r="D142"/>
  <c r="AZ65" i="1"/>
  <c r="AZ122"/>
  <c r="AZ116"/>
  <c r="AZ121"/>
  <c r="AZ119"/>
  <c r="AZ117"/>
  <c r="AZ124"/>
  <c r="AZ118"/>
  <c r="AZ115"/>
  <c r="AZ123"/>
  <c r="AQ14"/>
  <c r="AQ18"/>
  <c r="AQ16"/>
  <c r="AQ36"/>
  <c r="AQ9"/>
  <c r="AQ10"/>
  <c r="AQ11"/>
  <c r="AQ8"/>
  <c r="AQ15"/>
  <c r="AQ17"/>
  <c r="D131" i="8"/>
  <c r="D147"/>
  <c r="D133"/>
  <c r="D149"/>
  <c r="D130"/>
  <c r="D146"/>
  <c r="AQ26" i="1"/>
  <c r="AQ38"/>
  <c r="AZ77"/>
  <c r="AQ30"/>
  <c r="AQ42"/>
  <c r="AQ28"/>
  <c r="AQ40"/>
  <c r="AZ45"/>
  <c r="AZ190"/>
  <c r="AZ43"/>
  <c r="AZ46"/>
  <c r="AZ191"/>
  <c r="AZ44"/>
  <c r="AZ189"/>
  <c r="AZ188"/>
  <c r="AZ58"/>
  <c r="AZ49"/>
  <c r="AZ194"/>
  <c r="AZ52"/>
  <c r="AZ197"/>
  <c r="AZ50"/>
  <c r="AZ195"/>
  <c r="AZ56"/>
  <c r="AZ51"/>
  <c r="AZ196"/>
  <c r="AZ57"/>
  <c r="AZ59"/>
  <c r="AZ55"/>
  <c r="AQ22"/>
  <c r="AQ20"/>
  <c r="AQ23"/>
  <c r="AQ21"/>
  <c r="AQ48"/>
  <c r="AQ29"/>
  <c r="AQ27"/>
  <c r="F49" i="8"/>
  <c r="F55"/>
  <c r="F61"/>
  <c r="G49"/>
  <c r="G55"/>
  <c r="G61"/>
  <c r="I49"/>
  <c r="I55"/>
  <c r="I61"/>
  <c r="J49"/>
  <c r="J55"/>
  <c r="J61"/>
  <c r="K49"/>
  <c r="K55"/>
  <c r="K61"/>
  <c r="L49"/>
  <c r="L55"/>
  <c r="L61"/>
  <c r="M49"/>
  <c r="M55"/>
  <c r="M61"/>
  <c r="F50"/>
  <c r="F56"/>
  <c r="F62"/>
  <c r="G50"/>
  <c r="G56"/>
  <c r="G62"/>
  <c r="I50"/>
  <c r="I56"/>
  <c r="I62"/>
  <c r="J50"/>
  <c r="J56"/>
  <c r="J62"/>
  <c r="K50"/>
  <c r="K56"/>
  <c r="K62"/>
  <c r="L50"/>
  <c r="L56"/>
  <c r="L62"/>
  <c r="M50"/>
  <c r="M56"/>
  <c r="M62"/>
  <c r="M88"/>
  <c r="M94"/>
  <c r="M100"/>
  <c r="F87"/>
  <c r="F93"/>
  <c r="F99"/>
  <c r="G87"/>
  <c r="G93"/>
  <c r="G99"/>
  <c r="I87"/>
  <c r="I93"/>
  <c r="I99"/>
  <c r="J87"/>
  <c r="J93"/>
  <c r="J99"/>
  <c r="K87"/>
  <c r="K93"/>
  <c r="K99"/>
  <c r="L87"/>
  <c r="L93"/>
  <c r="L99"/>
  <c r="M87"/>
  <c r="M93"/>
  <c r="M99"/>
  <c r="F88"/>
  <c r="F94"/>
  <c r="F100"/>
  <c r="G88"/>
  <c r="G94"/>
  <c r="G100"/>
  <c r="I88"/>
  <c r="I94"/>
  <c r="I100"/>
  <c r="J88"/>
  <c r="J94"/>
  <c r="J100"/>
  <c r="K88"/>
  <c r="K94"/>
  <c r="K100"/>
  <c r="L88"/>
  <c r="L94"/>
  <c r="L100"/>
  <c r="C95"/>
  <c r="C57"/>
  <c r="C83"/>
  <c r="C77"/>
  <c r="C71"/>
  <c r="C45"/>
  <c r="C37"/>
  <c r="C43"/>
  <c r="C38"/>
  <c r="C44"/>
  <c r="C36"/>
  <c r="C42"/>
  <c r="C69"/>
  <c r="C75"/>
  <c r="C81"/>
  <c r="C87"/>
  <c r="C93"/>
  <c r="C99"/>
  <c r="C70"/>
  <c r="C76"/>
  <c r="C82"/>
  <c r="C88"/>
  <c r="C94"/>
  <c r="C100"/>
  <c r="AZ70" i="1"/>
  <c r="AZ62"/>
  <c r="AZ83"/>
  <c r="AZ81"/>
  <c r="AZ63"/>
  <c r="AZ68"/>
  <c r="AZ89"/>
  <c r="AZ79"/>
  <c r="AZ64"/>
  <c r="AZ61"/>
  <c r="AZ69"/>
  <c r="AZ71"/>
  <c r="AZ67"/>
  <c r="AQ39"/>
  <c r="AQ41"/>
  <c r="AQ33"/>
  <c r="AQ50"/>
  <c r="AQ54"/>
  <c r="AQ72"/>
  <c r="AQ114"/>
  <c r="AQ35"/>
  <c r="AQ52"/>
  <c r="AQ32"/>
  <c r="AQ34"/>
  <c r="Q33" i="8" a="1"/>
  <c r="Q33"/>
  <c r="C50"/>
  <c r="C56"/>
  <c r="C48"/>
  <c r="C49"/>
  <c r="M39" a="1"/>
  <c r="M39"/>
  <c r="X45" a="1"/>
  <c r="X45"/>
  <c r="M33" a="1"/>
  <c r="M33"/>
  <c r="I33" a="1"/>
  <c r="I33"/>
  <c r="K33" a="1"/>
  <c r="K33"/>
  <c r="G33" a="1"/>
  <c r="G33"/>
  <c r="Q45" a="1"/>
  <c r="Q45"/>
  <c r="G45" a="1"/>
  <c r="G45"/>
  <c r="L33" a="1"/>
  <c r="L33"/>
  <c r="J33" a="1"/>
  <c r="J33"/>
  <c r="F33" a="1"/>
  <c r="F33"/>
  <c r="K45" a="1"/>
  <c r="K45"/>
  <c r="U45" a="1"/>
  <c r="U45"/>
  <c r="I45" a="1"/>
  <c r="I45"/>
  <c r="M45" a="1"/>
  <c r="M45"/>
  <c r="W45" a="1"/>
  <c r="W45"/>
  <c r="F39" a="1"/>
  <c r="F39"/>
  <c r="J39" a="1"/>
  <c r="J39"/>
  <c r="L39" a="1"/>
  <c r="L39"/>
  <c r="Q39" a="1"/>
  <c r="Q39"/>
  <c r="G39" a="1"/>
  <c r="G39"/>
  <c r="I39" a="1"/>
  <c r="I39"/>
  <c r="K39" a="1"/>
  <c r="K39"/>
  <c r="F45" a="1"/>
  <c r="F45"/>
  <c r="J45" a="1"/>
  <c r="J45"/>
  <c r="L45" a="1"/>
  <c r="L45"/>
  <c r="R45" a="1"/>
  <c r="R45"/>
  <c r="T45" a="1"/>
  <c r="T45"/>
  <c r="V45" a="1"/>
  <c r="V45"/>
  <c r="AZ137" i="1"/>
  <c r="BS84"/>
  <c r="AZ75"/>
  <c r="AZ93"/>
  <c r="AZ113"/>
  <c r="AZ204"/>
  <c r="BS42"/>
  <c r="AZ91"/>
  <c r="AZ82"/>
  <c r="AZ73"/>
  <c r="AZ76"/>
  <c r="AZ95"/>
  <c r="AZ74"/>
  <c r="AZ80"/>
  <c r="AQ46"/>
  <c r="AQ44"/>
  <c r="AQ64"/>
  <c r="AQ47"/>
  <c r="AQ78"/>
  <c r="BS48"/>
  <c r="BS125"/>
  <c r="AQ66"/>
  <c r="AQ62"/>
  <c r="AQ45"/>
  <c r="AQ53"/>
  <c r="AQ51"/>
  <c r="C62" i="8"/>
  <c r="C55"/>
  <c r="C54"/>
  <c r="C60"/>
  <c r="E18" i="14"/>
  <c r="B46" i="1"/>
  <c r="B14" i="14"/>
  <c r="D14"/>
  <c r="G14"/>
  <c r="E14"/>
  <c r="B45" i="1"/>
  <c r="B8" i="14"/>
  <c r="D8"/>
  <c r="G8"/>
  <c r="E8"/>
  <c r="B44" i="1"/>
  <c r="AA23" i="8"/>
  <c r="AQ120" i="1"/>
  <c r="AQ108"/>
  <c r="AQ116"/>
  <c r="AQ104"/>
  <c r="AQ118"/>
  <c r="AQ106"/>
  <c r="AZ92"/>
  <c r="AZ86"/>
  <c r="AZ107"/>
  <c r="AZ210"/>
  <c r="BS36"/>
  <c r="BS137"/>
  <c r="AZ88"/>
  <c r="AZ85"/>
  <c r="AZ94"/>
  <c r="AZ103"/>
  <c r="AZ206"/>
  <c r="BS32"/>
  <c r="BS133"/>
  <c r="AZ105"/>
  <c r="AZ208"/>
  <c r="BS34"/>
  <c r="BS135"/>
  <c r="AZ87"/>
  <c r="AQ63"/>
  <c r="AQ65"/>
  <c r="AQ69"/>
  <c r="AQ111"/>
  <c r="AQ80"/>
  <c r="BS50"/>
  <c r="BS127"/>
  <c r="AQ84"/>
  <c r="BS54"/>
  <c r="BS131"/>
  <c r="AQ90"/>
  <c r="BS60"/>
  <c r="AQ71"/>
  <c r="AQ113"/>
  <c r="AQ82"/>
  <c r="BS52"/>
  <c r="BS129"/>
  <c r="AQ68"/>
  <c r="AQ110"/>
  <c r="AQ70"/>
  <c r="AQ112"/>
  <c r="R55" i="8"/>
  <c r="U55"/>
  <c r="W55"/>
  <c r="Q56"/>
  <c r="T56"/>
  <c r="V56"/>
  <c r="X56"/>
  <c r="V94"/>
  <c r="R93"/>
  <c r="U93"/>
  <c r="W93"/>
  <c r="Q94"/>
  <c r="T94"/>
  <c r="W94"/>
  <c r="Q55"/>
  <c r="T55"/>
  <c r="V55"/>
  <c r="X55"/>
  <c r="R56"/>
  <c r="U56"/>
  <c r="W56"/>
  <c r="Q93"/>
  <c r="T93"/>
  <c r="V93"/>
  <c r="X93"/>
  <c r="R94"/>
  <c r="U94"/>
  <c r="X94"/>
  <c r="R49"/>
  <c r="U49"/>
  <c r="W49"/>
  <c r="Q50"/>
  <c r="T50"/>
  <c r="V50"/>
  <c r="X50"/>
  <c r="Q87"/>
  <c r="T87"/>
  <c r="V87"/>
  <c r="X87"/>
  <c r="R88"/>
  <c r="U88"/>
  <c r="W88"/>
  <c r="Q49"/>
  <c r="T49"/>
  <c r="V49"/>
  <c r="X49"/>
  <c r="R50"/>
  <c r="U50"/>
  <c r="W50"/>
  <c r="R87"/>
  <c r="U87"/>
  <c r="W87"/>
  <c r="Q88"/>
  <c r="T88"/>
  <c r="V88"/>
  <c r="X88"/>
  <c r="R61"/>
  <c r="U61"/>
  <c r="W61"/>
  <c r="Q62"/>
  <c r="T62"/>
  <c r="V62"/>
  <c r="X62"/>
  <c r="Q99"/>
  <c r="T99"/>
  <c r="V99"/>
  <c r="X99"/>
  <c r="R100"/>
  <c r="U100"/>
  <c r="W100"/>
  <c r="Q61"/>
  <c r="T61"/>
  <c r="V61"/>
  <c r="X61"/>
  <c r="R62"/>
  <c r="U62"/>
  <c r="W62"/>
  <c r="R99"/>
  <c r="U99"/>
  <c r="W99"/>
  <c r="Q100"/>
  <c r="T100"/>
  <c r="V100"/>
  <c r="X100"/>
  <c r="C61"/>
  <c r="AA57" i="1"/>
  <c r="AB57"/>
  <c r="AC57"/>
  <c r="AD57"/>
  <c r="AE57"/>
  <c r="AF57"/>
  <c r="AG57"/>
  <c r="AH57"/>
  <c r="Y78"/>
  <c r="Y73"/>
  <c r="Y68"/>
  <c r="Y63"/>
  <c r="Z62"/>
  <c r="Z67"/>
  <c r="Z72"/>
  <c r="Z77"/>
  <c r="Z82"/>
  <c r="Z61"/>
  <c r="Z66"/>
  <c r="Z71"/>
  <c r="Z76"/>
  <c r="Z81"/>
  <c r="Z60"/>
  <c r="Z65"/>
  <c r="Z70"/>
  <c r="Z75"/>
  <c r="Z80"/>
  <c r="Z59"/>
  <c r="Z64"/>
  <c r="Z69"/>
  <c r="Z74"/>
  <c r="Z79"/>
  <c r="Z58"/>
  <c r="Z63"/>
  <c r="Z68"/>
  <c r="Z73"/>
  <c r="Z78"/>
  <c r="Y58"/>
  <c r="C68" i="8"/>
  <c r="BS88" i="1"/>
  <c r="AZ141"/>
  <c r="BS86"/>
  <c r="AZ139"/>
  <c r="BS90"/>
  <c r="AZ143"/>
  <c r="AZ133"/>
  <c r="BS80"/>
  <c r="AZ136"/>
  <c r="BS83"/>
  <c r="AZ134"/>
  <c r="BS81"/>
  <c r="AZ135"/>
  <c r="BS82"/>
  <c r="AZ129"/>
  <c r="BS76"/>
  <c r="AZ127"/>
  <c r="BS74"/>
  <c r="AZ131"/>
  <c r="BS78"/>
  <c r="AQ117"/>
  <c r="AQ105"/>
  <c r="AQ119"/>
  <c r="AQ107"/>
  <c r="AZ111"/>
  <c r="AZ202"/>
  <c r="BS40"/>
  <c r="AZ106"/>
  <c r="AZ209"/>
  <c r="BS35"/>
  <c r="BS136"/>
  <c r="AZ109"/>
  <c r="AZ200"/>
  <c r="BS38"/>
  <c r="AZ112"/>
  <c r="AZ203"/>
  <c r="BS41"/>
  <c r="AZ110"/>
  <c r="AZ201"/>
  <c r="BS39"/>
  <c r="AZ104"/>
  <c r="AZ207"/>
  <c r="BS33"/>
  <c r="BS134"/>
  <c r="AQ76"/>
  <c r="BS46"/>
  <c r="BS123"/>
  <c r="AQ74"/>
  <c r="BS44"/>
  <c r="BS121"/>
  <c r="AQ77"/>
  <c r="BS47"/>
  <c r="BS124"/>
  <c r="AQ75"/>
  <c r="BS45"/>
  <c r="BS122"/>
  <c r="AQ83"/>
  <c r="BS53"/>
  <c r="BS130"/>
  <c r="AQ81"/>
  <c r="BS51"/>
  <c r="BS128"/>
  <c r="C74" i="8"/>
  <c r="R71" a="1"/>
  <c r="R71"/>
  <c r="V71" a="1"/>
  <c r="V71"/>
  <c r="U71" a="1"/>
  <c r="U71"/>
  <c r="F71" a="1"/>
  <c r="F71"/>
  <c r="I71" a="1"/>
  <c r="I71"/>
  <c r="K71" a="1"/>
  <c r="K71"/>
  <c r="M71" a="1"/>
  <c r="M71"/>
  <c r="T71" a="1"/>
  <c r="T71"/>
  <c r="X71" a="1"/>
  <c r="X71"/>
  <c r="Q71" a="1"/>
  <c r="Q71"/>
  <c r="W71" a="1"/>
  <c r="W71"/>
  <c r="G71" a="1"/>
  <c r="G71"/>
  <c r="J71" a="1"/>
  <c r="J71"/>
  <c r="L71" a="1"/>
  <c r="L71"/>
  <c r="BS89" i="1"/>
  <c r="AZ142"/>
  <c r="BS87"/>
  <c r="AZ140"/>
  <c r="AZ130"/>
  <c r="BS77"/>
  <c r="AZ128"/>
  <c r="BS75"/>
  <c r="AQ87"/>
  <c r="BS57"/>
  <c r="AQ89"/>
  <c r="BS59"/>
  <c r="AQ86"/>
  <c r="BS56"/>
  <c r="AQ88"/>
  <c r="BS58"/>
  <c r="C80" i="8"/>
  <c r="M77" a="1"/>
  <c r="M77"/>
  <c r="R77" a="1"/>
  <c r="R77"/>
  <c r="V77" a="1"/>
  <c r="V77"/>
  <c r="Q77" a="1"/>
  <c r="Q77"/>
  <c r="W77" a="1"/>
  <c r="W77"/>
  <c r="F77" a="1"/>
  <c r="F77"/>
  <c r="I77" a="1"/>
  <c r="I77"/>
  <c r="K77" a="1"/>
  <c r="K77"/>
  <c r="T77" a="1"/>
  <c r="T77"/>
  <c r="X77" a="1"/>
  <c r="X77"/>
  <c r="U77" a="1"/>
  <c r="U77"/>
  <c r="G77" a="1"/>
  <c r="G77"/>
  <c r="J77" a="1"/>
  <c r="J77"/>
  <c r="L77" a="1"/>
  <c r="L77"/>
  <c r="G5" i="7"/>
  <c r="H5"/>
  <c r="M5"/>
  <c r="G6"/>
  <c r="H6"/>
  <c r="M6"/>
  <c r="AA23"/>
  <c r="AB23"/>
  <c r="AC23"/>
  <c r="AD23"/>
  <c r="AG23"/>
  <c r="AH23"/>
  <c r="AI23"/>
  <c r="AJ23"/>
  <c r="AK23"/>
  <c r="AL23"/>
  <c r="AM23"/>
  <c r="AN23"/>
  <c r="AA24"/>
  <c r="AB24"/>
  <c r="AC24"/>
  <c r="AD24"/>
  <c r="AG24"/>
  <c r="AH24"/>
  <c r="AI24"/>
  <c r="AJ24"/>
  <c r="AK24"/>
  <c r="AL24"/>
  <c r="AM24"/>
  <c r="AN24"/>
  <c r="AA25"/>
  <c r="AB25"/>
  <c r="AC25"/>
  <c r="AD25"/>
  <c r="AG25"/>
  <c r="AH25"/>
  <c r="AI25"/>
  <c r="AJ25"/>
  <c r="AK25"/>
  <c r="AL25"/>
  <c r="AM25"/>
  <c r="AN25"/>
  <c r="AA26"/>
  <c r="AB26"/>
  <c r="AC26"/>
  <c r="AD26"/>
  <c r="AG26"/>
  <c r="AH26"/>
  <c r="AI26"/>
  <c r="AJ26"/>
  <c r="AK26"/>
  <c r="AL26"/>
  <c r="AM26"/>
  <c r="AN26"/>
  <c r="AA27"/>
  <c r="AB27"/>
  <c r="AC27"/>
  <c r="AD27"/>
  <c r="AG27"/>
  <c r="AH27"/>
  <c r="AI27"/>
  <c r="AJ27"/>
  <c r="AK27"/>
  <c r="AL27"/>
  <c r="AM27"/>
  <c r="AN27"/>
  <c r="AA28"/>
  <c r="AB28"/>
  <c r="AC28"/>
  <c r="AD28"/>
  <c r="AG28"/>
  <c r="AH28"/>
  <c r="AI28"/>
  <c r="AJ28"/>
  <c r="AK28"/>
  <c r="AL28"/>
  <c r="AM28"/>
  <c r="AN28"/>
  <c r="AA29"/>
  <c r="AB29"/>
  <c r="AC29"/>
  <c r="AD29"/>
  <c r="AG29"/>
  <c r="AH29"/>
  <c r="AI29"/>
  <c r="AJ29"/>
  <c r="AK29"/>
  <c r="AL29"/>
  <c r="AM29"/>
  <c r="AN29"/>
  <c r="AA30"/>
  <c r="AB30"/>
  <c r="AC30"/>
  <c r="AD30"/>
  <c r="AG30"/>
  <c r="AH30"/>
  <c r="AI30"/>
  <c r="AJ30"/>
  <c r="AK30"/>
  <c r="AL30"/>
  <c r="AM30"/>
  <c r="AN30"/>
  <c r="AA31"/>
  <c r="AB31"/>
  <c r="AC31"/>
  <c r="AD31"/>
  <c r="AG31"/>
  <c r="AH31"/>
  <c r="AI31"/>
  <c r="AJ31"/>
  <c r="AK31"/>
  <c r="AL31"/>
  <c r="AM31"/>
  <c r="AN31"/>
  <c r="AA32"/>
  <c r="AB32"/>
  <c r="AC32"/>
  <c r="AD32"/>
  <c r="AG32"/>
  <c r="AH32"/>
  <c r="AI32"/>
  <c r="AJ32"/>
  <c r="AK32"/>
  <c r="AL32"/>
  <c r="AM32"/>
  <c r="AN32"/>
  <c r="AA33"/>
  <c r="AB33"/>
  <c r="AC33"/>
  <c r="AD33"/>
  <c r="AG33"/>
  <c r="AH33"/>
  <c r="AI33"/>
  <c r="AJ33"/>
  <c r="AK33"/>
  <c r="AL33"/>
  <c r="AM33"/>
  <c r="AN33"/>
  <c r="AA34"/>
  <c r="AB34"/>
  <c r="AC34"/>
  <c r="AD34"/>
  <c r="AG34"/>
  <c r="AH34"/>
  <c r="AI34"/>
  <c r="AJ34"/>
  <c r="AK34"/>
  <c r="AL34"/>
  <c r="AM34"/>
  <c r="AN34"/>
  <c r="AA35"/>
  <c r="AB35"/>
  <c r="AC35"/>
  <c r="AD35"/>
  <c r="AG35"/>
  <c r="AH35"/>
  <c r="AI35"/>
  <c r="AJ35"/>
  <c r="AK35"/>
  <c r="AL35"/>
  <c r="AM35"/>
  <c r="AN35"/>
  <c r="AA36"/>
  <c r="AB36"/>
  <c r="AC36"/>
  <c r="AD36"/>
  <c r="AG36"/>
  <c r="AH36"/>
  <c r="AI36"/>
  <c r="AJ36"/>
  <c r="AK36"/>
  <c r="AL36"/>
  <c r="AM36"/>
  <c r="AN36"/>
  <c r="AA37"/>
  <c r="AB37"/>
  <c r="AC37"/>
  <c r="AD37"/>
  <c r="AG37"/>
  <c r="AH37"/>
  <c r="AI37"/>
  <c r="AJ37"/>
  <c r="AK37"/>
  <c r="AL37"/>
  <c r="AM37"/>
  <c r="AN37"/>
  <c r="AA38"/>
  <c r="AB38"/>
  <c r="AC38"/>
  <c r="AD38"/>
  <c r="AG38"/>
  <c r="AH38"/>
  <c r="AI38"/>
  <c r="AJ38"/>
  <c r="AK38"/>
  <c r="AL38"/>
  <c r="AM38"/>
  <c r="AN38"/>
  <c r="AA39"/>
  <c r="AB39"/>
  <c r="AC39"/>
  <c r="AD39"/>
  <c r="AG39"/>
  <c r="AH39"/>
  <c r="AI39"/>
  <c r="AJ39"/>
  <c r="AK39"/>
  <c r="AL39"/>
  <c r="AM39"/>
  <c r="AN39"/>
  <c r="AA40"/>
  <c r="AB40"/>
  <c r="AC40"/>
  <c r="AD40"/>
  <c r="AG40"/>
  <c r="AH40"/>
  <c r="AI40"/>
  <c r="AJ40"/>
  <c r="AK40"/>
  <c r="AL40"/>
  <c r="AM40"/>
  <c r="AN40"/>
  <c r="AA41"/>
  <c r="AB41"/>
  <c r="AC41"/>
  <c r="AD41"/>
  <c r="AG41"/>
  <c r="AH41"/>
  <c r="AI41"/>
  <c r="AJ41"/>
  <c r="AK41"/>
  <c r="AL41"/>
  <c r="AM41"/>
  <c r="AN41"/>
  <c r="AA42"/>
  <c r="AB42"/>
  <c r="AC42"/>
  <c r="AD42"/>
  <c r="AG42"/>
  <c r="AH42"/>
  <c r="AI42"/>
  <c r="AJ42"/>
  <c r="AK42"/>
  <c r="AL42"/>
  <c r="AM42"/>
  <c r="AN42"/>
  <c r="AA43"/>
  <c r="AB43"/>
  <c r="AC43"/>
  <c r="AD43"/>
  <c r="AG43"/>
  <c r="AH43"/>
  <c r="AI43"/>
  <c r="AJ43"/>
  <c r="AK43"/>
  <c r="AL43"/>
  <c r="AM43"/>
  <c r="AN43"/>
  <c r="AA44"/>
  <c r="AB44"/>
  <c r="AC44"/>
  <c r="AD44"/>
  <c r="AG44"/>
  <c r="AH44"/>
  <c r="AI44"/>
  <c r="AJ44"/>
  <c r="AK44"/>
  <c r="AL44"/>
  <c r="AM44"/>
  <c r="AN44"/>
  <c r="AA45"/>
  <c r="AB45"/>
  <c r="AC45"/>
  <c r="AD45"/>
  <c r="AG45"/>
  <c r="AH45"/>
  <c r="AI45"/>
  <c r="AJ45"/>
  <c r="AK45"/>
  <c r="AL45"/>
  <c r="AM45"/>
  <c r="AN45"/>
  <c r="AA46"/>
  <c r="AB46"/>
  <c r="AC46"/>
  <c r="AD46"/>
  <c r="AG46"/>
  <c r="AH46"/>
  <c r="AI46"/>
  <c r="AJ46"/>
  <c r="AK46"/>
  <c r="AL46"/>
  <c r="AM46"/>
  <c r="AN46"/>
  <c r="AA47"/>
  <c r="AB47"/>
  <c r="AC47"/>
  <c r="AD47"/>
  <c r="AG47"/>
  <c r="AH47"/>
  <c r="AI47"/>
  <c r="AJ47"/>
  <c r="AK47"/>
  <c r="AL47"/>
  <c r="AM47"/>
  <c r="AN47"/>
  <c r="AA48"/>
  <c r="AB48"/>
  <c r="AC48"/>
  <c r="AD48"/>
  <c r="AG48"/>
  <c r="AH48"/>
  <c r="AI48"/>
  <c r="AJ48"/>
  <c r="AK48"/>
  <c r="AL48"/>
  <c r="AM48"/>
  <c r="AN48"/>
  <c r="AA49"/>
  <c r="AB49"/>
  <c r="AC49"/>
  <c r="AD49"/>
  <c r="AG49"/>
  <c r="AH49"/>
  <c r="AI49"/>
  <c r="AJ49"/>
  <c r="AK49"/>
  <c r="AL49"/>
  <c r="AM49"/>
  <c r="AN49"/>
  <c r="AA50"/>
  <c r="AB50"/>
  <c r="AC50"/>
  <c r="AD50"/>
  <c r="AG50"/>
  <c r="AH50"/>
  <c r="AI50"/>
  <c r="AJ50"/>
  <c r="AK50"/>
  <c r="AL50"/>
  <c r="AM50"/>
  <c r="AN50"/>
  <c r="AA51"/>
  <c r="AB51"/>
  <c r="AC51"/>
  <c r="AD51"/>
  <c r="AG51"/>
  <c r="AH51"/>
  <c r="AI51"/>
  <c r="AJ51"/>
  <c r="AK51"/>
  <c r="AL51"/>
  <c r="AM51"/>
  <c r="AN51"/>
  <c r="AA52"/>
  <c r="AB52"/>
  <c r="AC52"/>
  <c r="AD52"/>
  <c r="AG52"/>
  <c r="AH52"/>
  <c r="AI52"/>
  <c r="AJ52"/>
  <c r="AK52"/>
  <c r="AL52"/>
  <c r="AM52"/>
  <c r="AN52"/>
  <c r="AA53"/>
  <c r="AB53"/>
  <c r="AC53"/>
  <c r="AD53"/>
  <c r="AG53"/>
  <c r="AH53"/>
  <c r="AI53"/>
  <c r="AJ53"/>
  <c r="AK53"/>
  <c r="AL53"/>
  <c r="AM53"/>
  <c r="AN53"/>
  <c r="AA54"/>
  <c r="AB54"/>
  <c r="AC54"/>
  <c r="AD54"/>
  <c r="AG54"/>
  <c r="AH54"/>
  <c r="AI54"/>
  <c r="AJ54"/>
  <c r="AK54"/>
  <c r="AL54"/>
  <c r="AM54"/>
  <c r="AN54"/>
  <c r="X24"/>
  <c r="X25"/>
  <c r="X26"/>
  <c r="X27"/>
  <c r="X28"/>
  <c r="X29"/>
  <c r="X30"/>
  <c r="X31"/>
  <c r="X32"/>
  <c r="X33"/>
  <c r="X34"/>
  <c r="X35"/>
  <c r="X36"/>
  <c r="X37"/>
  <c r="X38"/>
  <c r="X39"/>
  <c r="X40"/>
  <c r="X41"/>
  <c r="X42"/>
  <c r="X43"/>
  <c r="X44"/>
  <c r="X45"/>
  <c r="X46"/>
  <c r="X47"/>
  <c r="X48"/>
  <c r="X49"/>
  <c r="X50"/>
  <c r="X51"/>
  <c r="X52"/>
  <c r="X53"/>
  <c r="X54"/>
  <c r="X23"/>
  <c r="D55"/>
  <c r="B55"/>
  <c r="C86" i="8"/>
  <c r="M83" a="1"/>
  <c r="M83"/>
  <c r="Q83" a="1"/>
  <c r="Q83"/>
  <c r="R83" a="1"/>
  <c r="R83"/>
  <c r="V83" a="1"/>
  <c r="V83"/>
  <c r="F83" a="1"/>
  <c r="F83"/>
  <c r="I83" a="1"/>
  <c r="I83"/>
  <c r="K83" a="1"/>
  <c r="K83"/>
  <c r="U83" a="1"/>
  <c r="U83"/>
  <c r="W83" a="1"/>
  <c r="W83"/>
  <c r="T83" a="1"/>
  <c r="T83"/>
  <c r="X83" a="1"/>
  <c r="X83"/>
  <c r="G83" a="1"/>
  <c r="G83"/>
  <c r="J83" a="1"/>
  <c r="J83"/>
  <c r="L83" a="1"/>
  <c r="L83"/>
  <c r="D138"/>
  <c r="D170"/>
  <c r="B169"/>
  <c r="D118"/>
  <c r="G86"/>
  <c r="G92"/>
  <c r="G98"/>
  <c r="F86"/>
  <c r="F92"/>
  <c r="F98"/>
  <c r="J86"/>
  <c r="J92"/>
  <c r="J98"/>
  <c r="K86"/>
  <c r="K92"/>
  <c r="K98"/>
  <c r="L86"/>
  <c r="L92"/>
  <c r="L98"/>
  <c r="M86"/>
  <c r="M92"/>
  <c r="M98"/>
  <c r="I86"/>
  <c r="I92"/>
  <c r="I98"/>
  <c r="K48"/>
  <c r="K51" a="1"/>
  <c r="K51"/>
  <c r="L48"/>
  <c r="M48"/>
  <c r="M51" a="1"/>
  <c r="M51"/>
  <c r="J48"/>
  <c r="I48"/>
  <c r="G48"/>
  <c r="F48"/>
  <c r="M54"/>
  <c r="B156"/>
  <c r="B160"/>
  <c r="B164"/>
  <c r="B168"/>
  <c r="B157"/>
  <c r="B161"/>
  <c r="B165"/>
  <c r="B167"/>
  <c r="B158"/>
  <c r="B162"/>
  <c r="B166"/>
  <c r="B155"/>
  <c r="B159"/>
  <c r="B163"/>
  <c r="D134"/>
  <c r="B117"/>
  <c r="B115"/>
  <c r="B113"/>
  <c r="B111"/>
  <c r="B109"/>
  <c r="B107"/>
  <c r="B116"/>
  <c r="B108"/>
  <c r="B112"/>
  <c r="B106"/>
  <c r="B110"/>
  <c r="B114"/>
  <c r="K54"/>
  <c r="K60"/>
  <c r="K63" a="1"/>
  <c r="K63"/>
  <c r="F54"/>
  <c r="F51" a="1"/>
  <c r="F51"/>
  <c r="I54"/>
  <c r="I51" a="1"/>
  <c r="I51"/>
  <c r="M60"/>
  <c r="M63" a="1"/>
  <c r="M63"/>
  <c r="M57" a="1"/>
  <c r="M57"/>
  <c r="C92"/>
  <c r="M89" a="1"/>
  <c r="M89"/>
  <c r="F89" a="1"/>
  <c r="F89"/>
  <c r="I89" a="1"/>
  <c r="I89"/>
  <c r="K89" a="1"/>
  <c r="K89"/>
  <c r="G89" a="1"/>
  <c r="G89"/>
  <c r="J89" a="1"/>
  <c r="J89"/>
  <c r="L89" a="1"/>
  <c r="L89"/>
  <c r="G54"/>
  <c r="G51" a="1"/>
  <c r="G51"/>
  <c r="J54"/>
  <c r="J51" a="1"/>
  <c r="J51"/>
  <c r="K57" a="1"/>
  <c r="K57"/>
  <c r="L54"/>
  <c r="L51" a="1"/>
  <c r="L51"/>
  <c r="D189"/>
  <c r="W170" a="1"/>
  <c r="W170"/>
  <c r="U170" a="1"/>
  <c r="U170"/>
  <c r="S170" a="1"/>
  <c r="S170"/>
  <c r="H170" a="1"/>
  <c r="H170"/>
  <c r="J170" a="1"/>
  <c r="J170"/>
  <c r="L170" a="1"/>
  <c r="L170"/>
  <c r="E170" a="1"/>
  <c r="E170"/>
  <c r="X170" a="1"/>
  <c r="X170"/>
  <c r="V170" a="1"/>
  <c r="V170"/>
  <c r="T170" a="1"/>
  <c r="T170"/>
  <c r="R170" a="1"/>
  <c r="R170"/>
  <c r="P170" a="1"/>
  <c r="P170"/>
  <c r="G170" a="1"/>
  <c r="G170"/>
  <c r="I170" a="1"/>
  <c r="I170"/>
  <c r="K170" a="1"/>
  <c r="K170"/>
  <c r="M170" a="1"/>
  <c r="M170"/>
  <c r="P118" a="1"/>
  <c r="P118"/>
  <c r="B178"/>
  <c r="B186"/>
  <c r="B180"/>
  <c r="B175"/>
  <c r="B177"/>
  <c r="B185"/>
  <c r="B187"/>
  <c r="B183"/>
  <c r="B174"/>
  <c r="B179"/>
  <c r="B181"/>
  <c r="B188"/>
  <c r="B182"/>
  <c r="B176"/>
  <c r="B184"/>
  <c r="G118" a="1"/>
  <c r="G118"/>
  <c r="I118" a="1"/>
  <c r="I118"/>
  <c r="K118" a="1"/>
  <c r="K118"/>
  <c r="M118" a="1"/>
  <c r="M118"/>
  <c r="H118" a="1"/>
  <c r="H118"/>
  <c r="J118" a="1"/>
  <c r="J118"/>
  <c r="L118" a="1"/>
  <c r="L118"/>
  <c r="E118" a="1"/>
  <c r="E118"/>
  <c r="D208"/>
  <c r="D150"/>
  <c r="B125"/>
  <c r="B129"/>
  <c r="B133"/>
  <c r="B122"/>
  <c r="B126"/>
  <c r="B130"/>
  <c r="B132"/>
  <c r="B123"/>
  <c r="B127"/>
  <c r="B131"/>
  <c r="B124"/>
  <c r="B128"/>
  <c r="L60"/>
  <c r="L63" a="1"/>
  <c r="L63"/>
  <c r="L57" a="1"/>
  <c r="L57"/>
  <c r="J60"/>
  <c r="J63" a="1"/>
  <c r="J63"/>
  <c r="J57" a="1"/>
  <c r="J57"/>
  <c r="G60"/>
  <c r="G63" a="1"/>
  <c r="G63"/>
  <c r="G57" a="1"/>
  <c r="G57"/>
  <c r="C98"/>
  <c r="F95" a="1"/>
  <c r="F95"/>
  <c r="I95" a="1"/>
  <c r="I95"/>
  <c r="K95" a="1"/>
  <c r="K95"/>
  <c r="M95" a="1"/>
  <c r="M95"/>
  <c r="G95" a="1"/>
  <c r="G95"/>
  <c r="J95" a="1"/>
  <c r="J95"/>
  <c r="L95" a="1"/>
  <c r="L95"/>
  <c r="I60"/>
  <c r="I63" a="1"/>
  <c r="I63"/>
  <c r="I57" a="1"/>
  <c r="I57"/>
  <c r="F60"/>
  <c r="F63" a="1"/>
  <c r="F63"/>
  <c r="F57" a="1"/>
  <c r="F57"/>
  <c r="W189" a="1"/>
  <c r="W189"/>
  <c r="U189" a="1"/>
  <c r="U189"/>
  <c r="S189" a="1"/>
  <c r="S189"/>
  <c r="M189" a="1"/>
  <c r="M189"/>
  <c r="K189" a="1"/>
  <c r="K189"/>
  <c r="I189" a="1"/>
  <c r="I189"/>
  <c r="G189" a="1"/>
  <c r="G189"/>
  <c r="E189" a="1"/>
  <c r="E189"/>
  <c r="X189" a="1"/>
  <c r="X189"/>
  <c r="V189" a="1"/>
  <c r="V189"/>
  <c r="T189" a="1"/>
  <c r="T189"/>
  <c r="R189" a="1"/>
  <c r="R189"/>
  <c r="P189" a="1"/>
  <c r="P189"/>
  <c r="L189" a="1"/>
  <c r="L189"/>
  <c r="J189" a="1"/>
  <c r="J189"/>
  <c r="H189" a="1"/>
  <c r="H189"/>
  <c r="P134" a="1"/>
  <c r="P134"/>
  <c r="M134" a="1"/>
  <c r="M134"/>
  <c r="L134" a="1"/>
  <c r="L134"/>
  <c r="K134" a="1"/>
  <c r="K134"/>
  <c r="J134" a="1"/>
  <c r="J134"/>
  <c r="I134" a="1"/>
  <c r="I134"/>
  <c r="H134" a="1"/>
  <c r="H134"/>
  <c r="G134" a="1"/>
  <c r="G134"/>
  <c r="E134" a="1"/>
  <c r="E134"/>
  <c r="B207"/>
  <c r="B197"/>
  <c r="B205"/>
  <c r="B195"/>
  <c r="B203"/>
  <c r="B193"/>
  <c r="B201"/>
  <c r="B199"/>
  <c r="B198"/>
  <c r="B206"/>
  <c r="B196"/>
  <c r="B200"/>
  <c r="B202"/>
  <c r="B204"/>
  <c r="B194"/>
  <c r="B149"/>
  <c r="B147"/>
  <c r="B145"/>
  <c r="B143"/>
  <c r="B141"/>
  <c r="B139"/>
  <c r="B140"/>
  <c r="B144"/>
  <c r="B148"/>
  <c r="B138"/>
  <c r="B142"/>
  <c r="B146"/>
  <c r="M101" a="1"/>
  <c r="M101"/>
  <c r="F101" a="1"/>
  <c r="F101"/>
  <c r="I101" a="1"/>
  <c r="I101"/>
  <c r="K101" a="1"/>
  <c r="K101"/>
  <c r="G101" a="1"/>
  <c r="G101"/>
  <c r="J101" a="1"/>
  <c r="J101"/>
  <c r="L101" a="1"/>
  <c r="L101"/>
  <c r="M208" a="1"/>
  <c r="M208"/>
  <c r="K208" a="1"/>
  <c r="K208"/>
  <c r="I208" a="1"/>
  <c r="I208"/>
  <c r="G208" a="1"/>
  <c r="G208"/>
  <c r="E208" a="1"/>
  <c r="E208"/>
  <c r="P208" a="1"/>
  <c r="P208"/>
  <c r="L208" a="1"/>
  <c r="L208"/>
  <c r="J208" a="1"/>
  <c r="J208"/>
  <c r="H208" a="1"/>
  <c r="H208"/>
  <c r="P150" a="1"/>
  <c r="P150"/>
  <c r="M150" a="1"/>
  <c r="M150"/>
  <c r="K150" a="1"/>
  <c r="K150"/>
  <c r="I150" a="1"/>
  <c r="I150"/>
  <c r="G150" a="1"/>
  <c r="G150"/>
  <c r="E150" a="1"/>
  <c r="E150"/>
  <c r="L150" a="1"/>
  <c r="L150"/>
  <c r="J150" a="1"/>
  <c r="J150"/>
  <c r="H150" a="1"/>
  <c r="H150"/>
  <c r="B231" i="21"/>
  <c r="E231"/>
  <c r="D231"/>
  <c r="C231"/>
  <c r="D230"/>
  <c r="C230"/>
  <c r="D229"/>
  <c r="C229"/>
  <c r="D228"/>
  <c r="C228"/>
  <c r="D227"/>
  <c r="C227"/>
  <c r="D226"/>
  <c r="C226"/>
  <c r="D225"/>
  <c r="C225"/>
  <c r="D224"/>
  <c r="C224"/>
  <c r="D223"/>
  <c r="C223"/>
  <c r="D222"/>
  <c r="C222"/>
  <c r="D221"/>
  <c r="C221"/>
  <c r="D220"/>
  <c r="C220"/>
  <c r="D219"/>
  <c r="C219"/>
  <c r="D218"/>
  <c r="C218"/>
  <c r="D217"/>
  <c r="C217"/>
  <c r="D216"/>
  <c r="C216"/>
  <c r="D215"/>
  <c r="C215"/>
  <c r="D214"/>
  <c r="C214"/>
  <c r="D213"/>
  <c r="C213"/>
  <c r="D212"/>
  <c r="C212"/>
  <c r="D211"/>
  <c r="C211"/>
  <c r="D210"/>
  <c r="C210"/>
  <c r="D209"/>
  <c r="C209"/>
  <c r="D208"/>
  <c r="C208"/>
  <c r="D207"/>
  <c r="C207"/>
  <c r="D206"/>
  <c r="C206"/>
  <c r="D205"/>
  <c r="C205"/>
  <c r="D204"/>
  <c r="C204"/>
  <c r="D203"/>
  <c r="C203"/>
  <c r="D202"/>
  <c r="C202"/>
  <c r="D201"/>
  <c r="C201"/>
  <c r="D200"/>
  <c r="C200"/>
  <c r="D199"/>
  <c r="C199"/>
  <c r="D198"/>
  <c r="C198"/>
  <c r="D197"/>
  <c r="C197"/>
  <c r="D196"/>
  <c r="C196"/>
  <c r="D195"/>
  <c r="C195"/>
  <c r="D194"/>
  <c r="C194"/>
  <c r="D193"/>
  <c r="C193"/>
  <c r="D192"/>
  <c r="C192"/>
  <c r="D191"/>
  <c r="C191"/>
  <c r="D190"/>
  <c r="C190"/>
  <c r="D189"/>
  <c r="C189"/>
  <c r="D188"/>
  <c r="C188"/>
  <c r="D187"/>
  <c r="C187"/>
  <c r="D186"/>
  <c r="C186"/>
  <c r="D185"/>
  <c r="C185"/>
  <c r="D184"/>
  <c r="C184"/>
  <c r="D183"/>
  <c r="C183"/>
  <c r="D182"/>
  <c r="C182"/>
  <c r="D181"/>
  <c r="C181"/>
  <c r="D180"/>
  <c r="C180"/>
  <c r="D179"/>
  <c r="C179"/>
  <c r="D178"/>
  <c r="C178"/>
  <c r="D177"/>
  <c r="C177"/>
  <c r="D176"/>
  <c r="C176"/>
  <c r="D175"/>
  <c r="C175"/>
  <c r="D174"/>
  <c r="C174"/>
  <c r="D173"/>
  <c r="C173"/>
  <c r="D172"/>
  <c r="C172"/>
  <c r="D171"/>
  <c r="C171"/>
  <c r="D170"/>
  <c r="C170"/>
  <c r="D169"/>
  <c r="C169"/>
  <c r="D168"/>
  <c r="C168"/>
  <c r="D167"/>
  <c r="C167"/>
  <c r="D166"/>
  <c r="C166"/>
  <c r="D165"/>
  <c r="C165"/>
  <c r="D164"/>
  <c r="C164"/>
  <c r="D163"/>
  <c r="C163"/>
  <c r="D162"/>
  <c r="C162"/>
  <c r="D161"/>
  <c r="C161"/>
  <c r="D160"/>
  <c r="C160"/>
  <c r="D159"/>
  <c r="C159"/>
  <c r="D158"/>
  <c r="C158"/>
  <c r="D157"/>
  <c r="C157"/>
  <c r="D156"/>
  <c r="C156"/>
  <c r="D155"/>
  <c r="C155"/>
  <c r="D154"/>
  <c r="C154"/>
  <c r="D153"/>
  <c r="C153"/>
  <c r="D152"/>
  <c r="C152"/>
  <c r="D151"/>
  <c r="C151"/>
  <c r="D150"/>
  <c r="C150"/>
  <c r="D149"/>
  <c r="C149"/>
  <c r="D148"/>
  <c r="C148"/>
  <c r="D147"/>
  <c r="C147"/>
  <c r="D146"/>
  <c r="C146"/>
  <c r="D145"/>
  <c r="C145"/>
  <c r="D144"/>
  <c r="C144"/>
  <c r="D143"/>
  <c r="C143"/>
  <c r="D142"/>
  <c r="C142"/>
  <c r="D141"/>
  <c r="C141"/>
  <c r="D140"/>
  <c r="C140"/>
  <c r="D139"/>
  <c r="C139"/>
  <c r="D138"/>
  <c r="C138"/>
  <c r="D137"/>
  <c r="C137"/>
  <c r="D136"/>
  <c r="C136"/>
  <c r="D135"/>
  <c r="C135"/>
  <c r="D134"/>
  <c r="C134"/>
  <c r="D133"/>
  <c r="C133"/>
  <c r="D132"/>
  <c r="C132"/>
  <c r="D131"/>
  <c r="C131"/>
  <c r="D130"/>
  <c r="C130"/>
  <c r="D129"/>
  <c r="C129"/>
  <c r="D128"/>
  <c r="C128"/>
  <c r="D127"/>
  <c r="C127"/>
  <c r="D126"/>
  <c r="C126"/>
  <c r="D125"/>
  <c r="C125"/>
  <c r="D124"/>
  <c r="C124"/>
  <c r="D123"/>
  <c r="C123"/>
  <c r="D122"/>
  <c r="C122"/>
  <c r="D121"/>
  <c r="C121"/>
  <c r="D120"/>
  <c r="C120"/>
  <c r="D119"/>
  <c r="C119"/>
  <c r="D118"/>
  <c r="C118"/>
  <c r="D117"/>
  <c r="C117"/>
  <c r="D116"/>
  <c r="C116"/>
  <c r="D115"/>
  <c r="C115"/>
  <c r="D114"/>
  <c r="C114"/>
  <c r="D113"/>
  <c r="C113"/>
  <c r="D112"/>
  <c r="C112"/>
  <c r="D111"/>
  <c r="C111"/>
  <c r="D110"/>
  <c r="C110"/>
  <c r="D109"/>
  <c r="C109"/>
  <c r="D108"/>
  <c r="C108"/>
  <c r="D107"/>
  <c r="C107"/>
  <c r="D106"/>
  <c r="C106"/>
  <c r="D105"/>
  <c r="C105"/>
  <c r="D104"/>
  <c r="C104"/>
  <c r="D103"/>
  <c r="C103"/>
  <c r="D102"/>
  <c r="C102"/>
  <c r="D101"/>
  <c r="C101"/>
  <c r="D100"/>
  <c r="C100"/>
  <c r="D99"/>
  <c r="C99"/>
  <c r="D98"/>
  <c r="C98"/>
  <c r="D97"/>
  <c r="C97"/>
  <c r="D96"/>
  <c r="C96"/>
  <c r="D95"/>
  <c r="C95"/>
  <c r="D94"/>
  <c r="C94"/>
  <c r="D93"/>
  <c r="C93"/>
  <c r="D92"/>
  <c r="C92"/>
  <c r="D91"/>
  <c r="C91"/>
  <c r="D90"/>
  <c r="C90"/>
  <c r="D89"/>
  <c r="C89"/>
  <c r="D88"/>
  <c r="C88"/>
  <c r="D87"/>
  <c r="C87"/>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E77"/>
  <c r="D77"/>
  <c r="C77"/>
  <c r="C62"/>
  <c r="C63"/>
  <c r="C64"/>
  <c r="C65"/>
  <c r="C66"/>
  <c r="C67"/>
  <c r="C68"/>
  <c r="C69"/>
  <c r="C70"/>
  <c r="C71"/>
  <c r="C72"/>
  <c r="C73"/>
  <c r="C74"/>
  <c r="C75"/>
  <c r="C76"/>
  <c r="C61"/>
  <c r="C46"/>
  <c r="C47"/>
  <c r="C48"/>
  <c r="C49"/>
  <c r="C50"/>
  <c r="C51"/>
  <c r="C52"/>
  <c r="C53"/>
  <c r="C54"/>
  <c r="C55"/>
  <c r="C56"/>
  <c r="C57"/>
  <c r="C58"/>
  <c r="C59"/>
  <c r="C60"/>
  <c r="C45"/>
  <c r="D76"/>
  <c r="D75"/>
  <c r="D74"/>
  <c r="D73"/>
  <c r="D72"/>
  <c r="D71"/>
  <c r="D70"/>
  <c r="D69"/>
  <c r="D68"/>
  <c r="D67"/>
  <c r="D66"/>
  <c r="D65"/>
  <c r="D64"/>
  <c r="D63"/>
  <c r="D62"/>
  <c r="D61"/>
  <c r="D60"/>
  <c r="D59"/>
  <c r="D58"/>
  <c r="D57"/>
  <c r="D56"/>
  <c r="D55"/>
  <c r="D54"/>
  <c r="D53"/>
  <c r="D52"/>
  <c r="D51"/>
  <c r="D50"/>
  <c r="D49"/>
  <c r="D48"/>
  <c r="D47"/>
  <c r="D46"/>
  <c r="D45"/>
  <c r="D42"/>
  <c r="D43"/>
  <c r="D44"/>
  <c r="D41"/>
  <c r="D38"/>
  <c r="D39"/>
  <c r="D40"/>
  <c r="D37"/>
  <c r="C37"/>
  <c r="C38"/>
  <c r="C39"/>
  <c r="C40"/>
  <c r="C41"/>
  <c r="C42"/>
  <c r="C43"/>
  <c r="C44"/>
  <c r="D34"/>
  <c r="D35"/>
  <c r="D36"/>
  <c r="D33"/>
  <c r="D30"/>
  <c r="D31"/>
  <c r="D32"/>
  <c r="D29"/>
  <c r="C33"/>
  <c r="C34"/>
  <c r="C35"/>
  <c r="C36"/>
  <c r="D22"/>
  <c r="D21"/>
  <c r="D20"/>
  <c r="C30"/>
  <c r="C31"/>
  <c r="C32"/>
  <c r="C29"/>
  <c r="D16"/>
  <c r="F231" a="1"/>
  <c r="F231"/>
  <c r="A35"/>
  <c r="A33"/>
  <c r="G16" a="1"/>
  <c r="G16"/>
  <c r="G4"/>
  <c r="I16" a="1"/>
  <c r="I16"/>
  <c r="K16" a="1"/>
  <c r="K16"/>
  <c r="K4"/>
  <c r="M16" a="1"/>
  <c r="M16"/>
  <c r="M4"/>
  <c r="F16" a="1"/>
  <c r="F16"/>
  <c r="H16" a="1"/>
  <c r="H16"/>
  <c r="H4"/>
  <c r="J16" a="1"/>
  <c r="J16"/>
  <c r="J4"/>
  <c r="L16" a="1"/>
  <c r="L16"/>
  <c r="L4"/>
  <c r="N16" a="1"/>
  <c r="N16"/>
  <c r="N4"/>
  <c r="D23"/>
  <c r="A44"/>
  <c r="A42"/>
  <c r="A40"/>
  <c r="A38"/>
  <c r="A45"/>
  <c r="A59"/>
  <c r="A57"/>
  <c r="A55"/>
  <c r="A53"/>
  <c r="A51"/>
  <c r="A49"/>
  <c r="A47"/>
  <c r="A61"/>
  <c r="A75"/>
  <c r="A73"/>
  <c r="A71"/>
  <c r="A69"/>
  <c r="A67"/>
  <c r="A65"/>
  <c r="A63"/>
  <c r="A31"/>
  <c r="A43"/>
  <c r="A41"/>
  <c r="A39"/>
  <c r="A37"/>
  <c r="A60"/>
  <c r="A58"/>
  <c r="A56"/>
  <c r="A54"/>
  <c r="A52"/>
  <c r="A50"/>
  <c r="A48"/>
  <c r="A46"/>
  <c r="A76"/>
  <c r="A74"/>
  <c r="A72"/>
  <c r="A70"/>
  <c r="A68"/>
  <c r="A66"/>
  <c r="A64"/>
  <c r="A62"/>
  <c r="A36"/>
  <c r="A34"/>
  <c r="A29"/>
  <c r="A32"/>
  <c r="A30"/>
  <c r="F77" a="1"/>
  <c r="F77"/>
  <c r="H23" a="1"/>
  <c r="H23"/>
  <c r="H5"/>
  <c r="J23" a="1"/>
  <c r="J23"/>
  <c r="J5"/>
  <c r="L23" a="1"/>
  <c r="L23"/>
  <c r="L5"/>
  <c r="N23" a="1"/>
  <c r="N23"/>
  <c r="N5"/>
  <c r="G23" a="1"/>
  <c r="G23"/>
  <c r="G5"/>
  <c r="I23" a="1"/>
  <c r="I23"/>
  <c r="K23" a="1"/>
  <c r="K23"/>
  <c r="K5"/>
  <c r="M23" a="1"/>
  <c r="M23"/>
  <c r="M5"/>
  <c r="F23" a="1"/>
  <c r="F23"/>
  <c r="B103" i="3"/>
  <c r="B102"/>
  <c r="B101"/>
  <c r="C70"/>
  <c r="D70"/>
  <c r="E70"/>
  <c r="F70"/>
  <c r="G70"/>
  <c r="H70"/>
  <c r="I70"/>
  <c r="J70"/>
  <c r="K70"/>
  <c r="M70"/>
  <c r="L70"/>
  <c r="N70"/>
  <c r="O70"/>
  <c r="P70"/>
  <c r="Q70"/>
  <c r="B70"/>
  <c r="C49"/>
  <c r="C69"/>
  <c r="C89"/>
  <c r="C108"/>
  <c r="D49"/>
  <c r="D69"/>
  <c r="D89"/>
  <c r="D108"/>
  <c r="E49"/>
  <c r="E69"/>
  <c r="E89"/>
  <c r="E108"/>
  <c r="F49"/>
  <c r="F69"/>
  <c r="F89"/>
  <c r="F108"/>
  <c r="G49"/>
  <c r="G69"/>
  <c r="G89"/>
  <c r="G108"/>
  <c r="H49"/>
  <c r="H69"/>
  <c r="H89"/>
  <c r="H108"/>
  <c r="I49"/>
  <c r="I69"/>
  <c r="I89"/>
  <c r="I108"/>
  <c r="J49"/>
  <c r="J69"/>
  <c r="J89"/>
  <c r="J108"/>
  <c r="K49"/>
  <c r="K69"/>
  <c r="K89"/>
  <c r="K108"/>
  <c r="M49"/>
  <c r="M69"/>
  <c r="M89"/>
  <c r="M108"/>
  <c r="L49"/>
  <c r="L69"/>
  <c r="L89"/>
  <c r="L108"/>
  <c r="N49"/>
  <c r="N69"/>
  <c r="N89"/>
  <c r="N108"/>
  <c r="O49"/>
  <c r="O69"/>
  <c r="O89"/>
  <c r="O108"/>
  <c r="P49"/>
  <c r="P69"/>
  <c r="P89"/>
  <c r="P108"/>
  <c r="Q49"/>
  <c r="Q69"/>
  <c r="Q89"/>
  <c r="Q108"/>
  <c r="B49"/>
  <c r="B69"/>
  <c r="B89"/>
  <c r="B108"/>
  <c r="B7" i="10"/>
  <c r="D122" i="3"/>
  <c r="D121"/>
  <c r="D120"/>
  <c r="G123"/>
  <c r="J123"/>
  <c r="D123"/>
  <c r="G122"/>
  <c r="J122"/>
  <c r="G121"/>
  <c r="J121"/>
  <c r="G120"/>
  <c r="J120"/>
  <c r="D104"/>
  <c r="D84"/>
  <c r="B24" i="20"/>
  <c r="B23"/>
  <c r="B22"/>
  <c r="B32"/>
  <c r="B12"/>
  <c r="B11"/>
  <c r="B10"/>
  <c r="E19" i="14"/>
  <c r="J19"/>
  <c r="B9"/>
  <c r="D9"/>
  <c r="G9"/>
  <c r="E9"/>
  <c r="J9"/>
  <c r="E17"/>
  <c r="E16"/>
  <c r="J17"/>
  <c r="B15"/>
  <c r="G15"/>
  <c r="E13"/>
  <c r="E12"/>
  <c r="J13"/>
  <c r="E11"/>
  <c r="E10"/>
  <c r="E7"/>
  <c r="E6"/>
  <c r="J7"/>
  <c r="J11"/>
  <c r="F8"/>
  <c r="H8"/>
  <c r="F9"/>
  <c r="H9"/>
  <c r="F14"/>
  <c r="H14"/>
  <c r="D15"/>
  <c r="E15"/>
  <c r="F15"/>
  <c r="H15"/>
  <c r="J15"/>
  <c r="G119" i="3"/>
  <c r="J119"/>
  <c r="D119"/>
  <c r="G118"/>
  <c r="D118"/>
  <c r="G117"/>
  <c r="J117"/>
  <c r="G116"/>
  <c r="J116"/>
  <c r="G115"/>
  <c r="J115"/>
  <c r="G114"/>
  <c r="J114"/>
  <c r="G113"/>
  <c r="J113"/>
  <c r="G112"/>
  <c r="J112"/>
  <c r="G111"/>
  <c r="J111"/>
  <c r="G110"/>
  <c r="J110"/>
  <c r="A100"/>
  <c r="A99"/>
  <c r="Q98"/>
  <c r="P98"/>
  <c r="O98"/>
  <c r="N98"/>
  <c r="M98"/>
  <c r="K98"/>
  <c r="G98"/>
  <c r="J98"/>
  <c r="D98"/>
  <c r="A98"/>
  <c r="A97"/>
  <c r="D96"/>
  <c r="A96"/>
  <c r="A95"/>
  <c r="A94"/>
  <c r="A93"/>
  <c r="A92"/>
  <c r="A91"/>
  <c r="D85"/>
  <c r="D80"/>
  <c r="D100"/>
  <c r="D79"/>
  <c r="D99"/>
  <c r="D78"/>
  <c r="B78"/>
  <c r="B98"/>
  <c r="G65"/>
  <c r="B100"/>
  <c r="G38"/>
  <c r="C55" i="7"/>
  <c r="E27" i="4" a="1"/>
  <c r="E27"/>
  <c r="C11" i="23"/>
  <c r="B12"/>
  <c r="B13"/>
  <c r="B11"/>
  <c r="D11"/>
  <c r="C12"/>
  <c r="C13"/>
  <c r="C31" i="5"/>
  <c r="C32"/>
  <c r="E63" i="20"/>
  <c r="D54"/>
  <c r="F54"/>
  <c r="H54"/>
  <c r="D55"/>
  <c r="F55"/>
  <c r="H55"/>
  <c r="E53"/>
  <c r="G53"/>
  <c r="C53"/>
  <c r="D63"/>
  <c r="C63"/>
  <c r="C54"/>
  <c r="E54"/>
  <c r="G54"/>
  <c r="C55"/>
  <c r="E55"/>
  <c r="G55"/>
  <c r="D53"/>
  <c r="F53"/>
  <c r="H53"/>
  <c r="W14" i="8"/>
  <c r="U14"/>
  <c r="S14"/>
  <c r="X14"/>
  <c r="V14"/>
  <c r="T14"/>
  <c r="R14"/>
  <c r="H14"/>
  <c r="L14"/>
  <c r="H8"/>
  <c r="I8"/>
  <c r="I14"/>
  <c r="M14"/>
  <c r="J8"/>
  <c r="G8"/>
  <c r="X15"/>
  <c r="V15"/>
  <c r="R15"/>
  <c r="U15"/>
  <c r="J14"/>
  <c r="L8"/>
  <c r="M8"/>
  <c r="G14"/>
  <c r="K14"/>
  <c r="K8"/>
  <c r="W15"/>
  <c r="T15"/>
  <c r="S15"/>
  <c r="K15"/>
  <c r="L15"/>
  <c r="H9"/>
  <c r="L9"/>
  <c r="M15"/>
  <c r="G9"/>
  <c r="K9"/>
  <c r="M18"/>
  <c r="J18"/>
  <c r="J12"/>
  <c r="K11"/>
  <c r="M10"/>
  <c r="L12"/>
  <c r="I11"/>
  <c r="G15"/>
  <c r="H15"/>
  <c r="H21"/>
  <c r="K13" i="1"/>
  <c r="J9" i="8"/>
  <c r="I15"/>
  <c r="J15"/>
  <c r="I9"/>
  <c r="M9"/>
  <c r="K18"/>
  <c r="I18"/>
  <c r="G11"/>
  <c r="I12"/>
  <c r="M12"/>
  <c r="M11"/>
  <c r="J11"/>
  <c r="L10"/>
  <c r="G18"/>
  <c r="I10"/>
  <c r="L11"/>
  <c r="K10"/>
  <c r="H16"/>
  <c r="H18"/>
  <c r="J17"/>
  <c r="L17"/>
  <c r="L18"/>
  <c r="L24"/>
  <c r="O31" i="1"/>
  <c r="G16" i="8"/>
  <c r="I17"/>
  <c r="K16"/>
  <c r="M17"/>
  <c r="G12"/>
  <c r="H10"/>
  <c r="K12"/>
  <c r="J10"/>
  <c r="H11"/>
  <c r="H12"/>
  <c r="H17"/>
  <c r="J16"/>
  <c r="L16"/>
  <c r="G17"/>
  <c r="G23"/>
  <c r="J25" i="1"/>
  <c r="I16" i="8"/>
  <c r="K17"/>
  <c r="M16"/>
  <c r="G10"/>
  <c r="A24" i="7"/>
  <c r="A53"/>
  <c r="A49"/>
  <c r="A45"/>
  <c r="A41"/>
  <c r="A37"/>
  <c r="A33"/>
  <c r="A29"/>
  <c r="A54"/>
  <c r="A50"/>
  <c r="A46"/>
  <c r="A42"/>
  <c r="A38"/>
  <c r="A34"/>
  <c r="A30"/>
  <c r="A26"/>
  <c r="A25"/>
  <c r="A23"/>
  <c r="A51"/>
  <c r="A47"/>
  <c r="A43"/>
  <c r="A39"/>
  <c r="A35"/>
  <c r="A31"/>
  <c r="A27"/>
  <c r="A52"/>
  <c r="A48"/>
  <c r="A44"/>
  <c r="A40"/>
  <c r="A36"/>
  <c r="A32"/>
  <c r="A28"/>
  <c r="I23"/>
  <c r="K23"/>
  <c r="O23"/>
  <c r="Q23"/>
  <c r="S23"/>
  <c r="U23"/>
  <c r="I24"/>
  <c r="K24"/>
  <c r="O24"/>
  <c r="Q24"/>
  <c r="S24"/>
  <c r="U24"/>
  <c r="I25"/>
  <c r="K25"/>
  <c r="O25"/>
  <c r="Q25"/>
  <c r="S25"/>
  <c r="U25"/>
  <c r="I26"/>
  <c r="K26"/>
  <c r="O26"/>
  <c r="Q26"/>
  <c r="S26"/>
  <c r="U26"/>
  <c r="I27"/>
  <c r="K27"/>
  <c r="O27"/>
  <c r="Q27"/>
  <c r="S27"/>
  <c r="I28"/>
  <c r="Q28"/>
  <c r="S29"/>
  <c r="I31"/>
  <c r="O32"/>
  <c r="J23"/>
  <c r="L23"/>
  <c r="P23"/>
  <c r="R23"/>
  <c r="T23"/>
  <c r="V23"/>
  <c r="J24"/>
  <c r="L24"/>
  <c r="P24"/>
  <c r="R24"/>
  <c r="T24"/>
  <c r="V24"/>
  <c r="J25"/>
  <c r="L25"/>
  <c r="P25"/>
  <c r="R25"/>
  <c r="T25"/>
  <c r="V25"/>
  <c r="J26"/>
  <c r="L26"/>
  <c r="P26"/>
  <c r="R26"/>
  <c r="T26"/>
  <c r="V26"/>
  <c r="J27"/>
  <c r="L27"/>
  <c r="P27"/>
  <c r="R27"/>
  <c r="T27"/>
  <c r="V27"/>
  <c r="J28"/>
  <c r="L28"/>
  <c r="P28"/>
  <c r="R28"/>
  <c r="T28"/>
  <c r="V28"/>
  <c r="J29"/>
  <c r="L29"/>
  <c r="P29"/>
  <c r="R29"/>
  <c r="T29"/>
  <c r="V29"/>
  <c r="J30"/>
  <c r="L30"/>
  <c r="P30"/>
  <c r="R30"/>
  <c r="T30"/>
  <c r="V30"/>
  <c r="J31"/>
  <c r="L31"/>
  <c r="P31"/>
  <c r="R31"/>
  <c r="T31"/>
  <c r="V31"/>
  <c r="J32"/>
  <c r="L32"/>
  <c r="P32"/>
  <c r="R32"/>
  <c r="T32"/>
  <c r="V32"/>
  <c r="J33"/>
  <c r="L33"/>
  <c r="P33"/>
  <c r="R33"/>
  <c r="T33"/>
  <c r="V33"/>
  <c r="J34"/>
  <c r="L34"/>
  <c r="P34"/>
  <c r="R34"/>
  <c r="T34"/>
  <c r="V34"/>
  <c r="J35"/>
  <c r="L35"/>
  <c r="P35"/>
  <c r="R35"/>
  <c r="T35"/>
  <c r="V35"/>
  <c r="J36"/>
  <c r="L36"/>
  <c r="P36"/>
  <c r="R36"/>
  <c r="T36"/>
  <c r="V36"/>
  <c r="J37"/>
  <c r="L37"/>
  <c r="P37"/>
  <c r="R37"/>
  <c r="T37"/>
  <c r="V37"/>
  <c r="J38"/>
  <c r="L38"/>
  <c r="P38"/>
  <c r="R38"/>
  <c r="T38"/>
  <c r="V38"/>
  <c r="J39"/>
  <c r="L39"/>
  <c r="P39"/>
  <c r="R39"/>
  <c r="T39"/>
  <c r="V39"/>
  <c r="J40"/>
  <c r="L40"/>
  <c r="P40"/>
  <c r="R40"/>
  <c r="T40"/>
  <c r="V40"/>
  <c r="J41"/>
  <c r="L41"/>
  <c r="P41"/>
  <c r="R41"/>
  <c r="T41"/>
  <c r="V41"/>
  <c r="J42"/>
  <c r="L42"/>
  <c r="P42"/>
  <c r="R42"/>
  <c r="T42"/>
  <c r="V42"/>
  <c r="J43"/>
  <c r="L43"/>
  <c r="P43"/>
  <c r="R43"/>
  <c r="T43"/>
  <c r="V43"/>
  <c r="J44"/>
  <c r="L44"/>
  <c r="P44"/>
  <c r="R44"/>
  <c r="T44"/>
  <c r="V44"/>
  <c r="J45"/>
  <c r="L45"/>
  <c r="P45"/>
  <c r="R45"/>
  <c r="T45"/>
  <c r="V45"/>
  <c r="J46"/>
  <c r="L46"/>
  <c r="P46"/>
  <c r="R46"/>
  <c r="T46"/>
  <c r="V46"/>
  <c r="J47"/>
  <c r="L47"/>
  <c r="P47"/>
  <c r="R47"/>
  <c r="T47"/>
  <c r="V47"/>
  <c r="J48"/>
  <c r="L48"/>
  <c r="P48"/>
  <c r="R48"/>
  <c r="T48"/>
  <c r="V48"/>
  <c r="J49"/>
  <c r="L49"/>
  <c r="P49"/>
  <c r="R49"/>
  <c r="T49"/>
  <c r="V49"/>
  <c r="J50"/>
  <c r="L50"/>
  <c r="P50"/>
  <c r="R50"/>
  <c r="T50"/>
  <c r="V50"/>
  <c r="J51"/>
  <c r="L51"/>
  <c r="P51"/>
  <c r="R51"/>
  <c r="T51"/>
  <c r="V51"/>
  <c r="J52"/>
  <c r="L52"/>
  <c r="P52"/>
  <c r="R52"/>
  <c r="T52"/>
  <c r="V52"/>
  <c r="J53"/>
  <c r="L53"/>
  <c r="P53"/>
  <c r="R53"/>
  <c r="T53"/>
  <c r="V53"/>
  <c r="J54"/>
  <c r="L54"/>
  <c r="P54"/>
  <c r="R54"/>
  <c r="T54"/>
  <c r="V54"/>
  <c r="F25"/>
  <c r="F27"/>
  <c r="F29"/>
  <c r="F31"/>
  <c r="F33"/>
  <c r="F35"/>
  <c r="F37"/>
  <c r="F39"/>
  <c r="F41"/>
  <c r="F43"/>
  <c r="F45"/>
  <c r="F47"/>
  <c r="F49"/>
  <c r="F51"/>
  <c r="F53"/>
  <c r="F23"/>
  <c r="U27"/>
  <c r="K28"/>
  <c r="O28"/>
  <c r="S28"/>
  <c r="U28"/>
  <c r="I29"/>
  <c r="K29"/>
  <c r="O29"/>
  <c r="Q29"/>
  <c r="U29"/>
  <c r="I30"/>
  <c r="K30"/>
  <c r="O30"/>
  <c r="Q30"/>
  <c r="S30"/>
  <c r="U30"/>
  <c r="K31"/>
  <c r="O31"/>
  <c r="Q31"/>
  <c r="S31"/>
  <c r="U31"/>
  <c r="I32"/>
  <c r="K32"/>
  <c r="Q32"/>
  <c r="S32"/>
  <c r="U32"/>
  <c r="I33"/>
  <c r="K33"/>
  <c r="O33"/>
  <c r="Q33"/>
  <c r="S33"/>
  <c r="U33"/>
  <c r="I34"/>
  <c r="O34"/>
  <c r="S34"/>
  <c r="I35"/>
  <c r="O35"/>
  <c r="S35"/>
  <c r="I36"/>
  <c r="O36"/>
  <c r="S36"/>
  <c r="I37"/>
  <c r="O37"/>
  <c r="S37"/>
  <c r="I38"/>
  <c r="O38"/>
  <c r="S38"/>
  <c r="I39"/>
  <c r="O39"/>
  <c r="S39"/>
  <c r="I40"/>
  <c r="O40"/>
  <c r="S40"/>
  <c r="I42"/>
  <c r="S42"/>
  <c r="O44"/>
  <c r="I46"/>
  <c r="O48"/>
  <c r="I51"/>
  <c r="S53"/>
  <c r="F40"/>
  <c r="K34"/>
  <c r="Q34"/>
  <c r="U34"/>
  <c r="K35"/>
  <c r="Q35"/>
  <c r="U35"/>
  <c r="K36"/>
  <c r="Q36"/>
  <c r="U36"/>
  <c r="K37"/>
  <c r="Q37"/>
  <c r="U37"/>
  <c r="K38"/>
  <c r="Q38"/>
  <c r="U38"/>
  <c r="K39"/>
  <c r="Q39"/>
  <c r="U39"/>
  <c r="K40"/>
  <c r="Q40"/>
  <c r="U40"/>
  <c r="K41"/>
  <c r="Q41"/>
  <c r="U41"/>
  <c r="K42"/>
  <c r="Q42"/>
  <c r="U42"/>
  <c r="K43"/>
  <c r="Q43"/>
  <c r="U43"/>
  <c r="K44"/>
  <c r="Q44"/>
  <c r="U44"/>
  <c r="K45"/>
  <c r="Q45"/>
  <c r="U45"/>
  <c r="K46"/>
  <c r="Q46"/>
  <c r="U46"/>
  <c r="K47"/>
  <c r="Q47"/>
  <c r="U47"/>
  <c r="K48"/>
  <c r="Q48"/>
  <c r="U48"/>
  <c r="K49"/>
  <c r="Q49"/>
  <c r="U49"/>
  <c r="K50"/>
  <c r="Q50"/>
  <c r="U50"/>
  <c r="K51"/>
  <c r="Q51"/>
  <c r="U51"/>
  <c r="K52"/>
  <c r="Q52"/>
  <c r="U52"/>
  <c r="K53"/>
  <c r="Q53"/>
  <c r="U53"/>
  <c r="K54"/>
  <c r="Q54"/>
  <c r="U54"/>
  <c r="F26"/>
  <c r="F30"/>
  <c r="F34"/>
  <c r="F38"/>
  <c r="F42"/>
  <c r="F46"/>
  <c r="F50"/>
  <c r="F54"/>
  <c r="I41"/>
  <c r="O41"/>
  <c r="S41"/>
  <c r="O42"/>
  <c r="I43"/>
  <c r="O43"/>
  <c r="S43"/>
  <c r="I44"/>
  <c r="S44"/>
  <c r="I45"/>
  <c r="O45"/>
  <c r="S45"/>
  <c r="O46"/>
  <c r="S46"/>
  <c r="I47"/>
  <c r="O47"/>
  <c r="S47"/>
  <c r="I48"/>
  <c r="S48"/>
  <c r="I49"/>
  <c r="O49"/>
  <c r="S49"/>
  <c r="I50"/>
  <c r="O50"/>
  <c r="S50"/>
  <c r="O51"/>
  <c r="S51"/>
  <c r="I52"/>
  <c r="O52"/>
  <c r="S52"/>
  <c r="I53"/>
  <c r="O53"/>
  <c r="I54"/>
  <c r="O54"/>
  <c r="S54"/>
  <c r="F24"/>
  <c r="F28"/>
  <c r="F32"/>
  <c r="F36"/>
  <c r="F44"/>
  <c r="F48"/>
  <c r="F52"/>
  <c r="X86" i="8"/>
  <c r="V86"/>
  <c r="W86"/>
  <c r="U86"/>
  <c r="R86"/>
  <c r="T48"/>
  <c r="V48"/>
  <c r="X48"/>
  <c r="Q48"/>
  <c r="Q51" a="1"/>
  <c r="Q51"/>
  <c r="T86"/>
  <c r="Q86"/>
  <c r="Q89" a="1"/>
  <c r="Q89"/>
  <c r="U48"/>
  <c r="W48"/>
  <c r="R48"/>
  <c r="W92"/>
  <c r="U92"/>
  <c r="R92"/>
  <c r="X92"/>
  <c r="V92"/>
  <c r="T92"/>
  <c r="Q92"/>
  <c r="Q95" a="1"/>
  <c r="Q95"/>
  <c r="T54"/>
  <c r="T57" a="1"/>
  <c r="T57"/>
  <c r="V54"/>
  <c r="V57" a="1"/>
  <c r="V57"/>
  <c r="X54"/>
  <c r="X57" a="1"/>
  <c r="X57"/>
  <c r="R54"/>
  <c r="R57" a="1"/>
  <c r="R57"/>
  <c r="U54"/>
  <c r="U57" a="1"/>
  <c r="U57"/>
  <c r="W54"/>
  <c r="W57" a="1"/>
  <c r="W57"/>
  <c r="Q54"/>
  <c r="Q57" a="1"/>
  <c r="Q57"/>
  <c r="X98"/>
  <c r="V98"/>
  <c r="T98"/>
  <c r="Q98"/>
  <c r="Q101" a="1"/>
  <c r="Q101"/>
  <c r="W98"/>
  <c r="U98"/>
  <c r="R98"/>
  <c r="R60"/>
  <c r="U60"/>
  <c r="W60"/>
  <c r="Q60"/>
  <c r="Q63" a="1"/>
  <c r="Q63"/>
  <c r="T60"/>
  <c r="V60"/>
  <c r="X60"/>
  <c r="H27" i="4" a="1"/>
  <c r="H27"/>
  <c r="J118" i="3"/>
  <c r="G27" i="4" a="1"/>
  <c r="G27"/>
  <c r="M100" i="3"/>
  <c r="B46" i="11" a="1"/>
  <c r="B46"/>
  <c r="D27" i="4" a="1"/>
  <c r="D27"/>
  <c r="D46" i="3" a="1"/>
  <c r="D46"/>
  <c r="C27" i="4" a="1"/>
  <c r="C27"/>
  <c r="H104" i="3"/>
  <c r="C66" a="1"/>
  <c r="C66"/>
  <c r="B46" a="1"/>
  <c r="B46"/>
  <c r="C105" a="1"/>
  <c r="C105"/>
  <c r="C46" a="1"/>
  <c r="C46"/>
  <c r="B99"/>
  <c r="H46" a="1"/>
  <c r="H46"/>
  <c r="I46" a="1"/>
  <c r="I46"/>
  <c r="H31" i="20"/>
  <c r="I31"/>
  <c r="H30"/>
  <c r="I30"/>
  <c r="F29"/>
  <c r="F12"/>
  <c r="F10"/>
  <c r="F32"/>
  <c r="G32"/>
  <c r="F31"/>
  <c r="G31"/>
  <c r="F30"/>
  <c r="G30"/>
  <c r="F11"/>
  <c r="K23" i="8"/>
  <c r="N25" i="1"/>
  <c r="AF61"/>
  <c r="E115" i="3"/>
  <c r="E120"/>
  <c r="G22" i="8"/>
  <c r="J19" i="1"/>
  <c r="AB60"/>
  <c r="C16" i="5"/>
  <c r="C17"/>
  <c r="C15"/>
  <c r="B19" i="22"/>
  <c r="D19"/>
  <c r="D13" i="23"/>
  <c r="C19" i="22"/>
  <c r="D12" i="23"/>
  <c r="H22" i="8"/>
  <c r="K19" i="1"/>
  <c r="AC60"/>
  <c r="H23" i="8"/>
  <c r="K25" i="1"/>
  <c r="AC61"/>
  <c r="B86" i="3" a="1"/>
  <c r="B86"/>
  <c r="C34" i="5" a="1"/>
  <c r="C34"/>
  <c r="E122" i="3"/>
  <c r="M99"/>
  <c r="C86" a="1"/>
  <c r="C86"/>
  <c r="K104"/>
  <c r="I104"/>
  <c r="H99"/>
  <c r="I100"/>
  <c r="I99"/>
  <c r="H100"/>
  <c r="K102"/>
  <c r="H101"/>
  <c r="K101"/>
  <c r="H102"/>
  <c r="H103"/>
  <c r="K103"/>
  <c r="I102"/>
  <c r="M102"/>
  <c r="I103"/>
  <c r="I101"/>
  <c r="M103"/>
  <c r="K99"/>
  <c r="M104"/>
  <c r="E77"/>
  <c r="Q100"/>
  <c r="K100"/>
  <c r="E104"/>
  <c r="N101"/>
  <c r="Q102"/>
  <c r="Q103"/>
  <c r="Q104"/>
  <c r="M101"/>
  <c r="E96"/>
  <c r="Q99"/>
  <c r="C22" i="5"/>
  <c r="C23"/>
  <c r="C24"/>
  <c r="I22" i="8"/>
  <c r="L19" i="1"/>
  <c r="AD60"/>
  <c r="E110" i="3"/>
  <c r="E119"/>
  <c r="E113"/>
  <c r="F100"/>
  <c r="G100"/>
  <c r="F92"/>
  <c r="G92"/>
  <c r="J92"/>
  <c r="E76"/>
  <c r="E111"/>
  <c r="E116"/>
  <c r="E117"/>
  <c r="E123"/>
  <c r="I24" i="8"/>
  <c r="L31" i="1"/>
  <c r="AD62"/>
  <c r="H124" i="3" a="1"/>
  <c r="H124"/>
  <c r="K24" i="8"/>
  <c r="N31" i="1"/>
  <c r="AF62"/>
  <c r="G24" i="8"/>
  <c r="J31" i="1"/>
  <c r="AB62"/>
  <c r="H24" i="8"/>
  <c r="K31" i="1"/>
  <c r="AC62"/>
  <c r="M23" i="8"/>
  <c r="P25" i="1"/>
  <c r="AH61"/>
  <c r="M24" i="8"/>
  <c r="P31" i="1"/>
  <c r="AH62"/>
  <c r="I20" i="8"/>
  <c r="L7" i="1"/>
  <c r="J23" i="8"/>
  <c r="M25" i="1"/>
  <c r="AE61"/>
  <c r="L20" i="8"/>
  <c r="O7" i="1"/>
  <c r="H20" i="8"/>
  <c r="K7" i="1"/>
  <c r="J22" i="8"/>
  <c r="M19" i="1"/>
  <c r="AE60"/>
  <c r="L23" i="8"/>
  <c r="O25" i="1"/>
  <c r="AG61"/>
  <c r="I21" i="8"/>
  <c r="L13" i="1"/>
  <c r="AD59"/>
  <c r="G21" i="8"/>
  <c r="J13" i="1"/>
  <c r="AB59"/>
  <c r="K21" i="8"/>
  <c r="N13" i="1"/>
  <c r="AF59"/>
  <c r="J20" i="8"/>
  <c r="M7" i="1"/>
  <c r="K20" i="8"/>
  <c r="N7" i="1"/>
  <c r="G20" i="8"/>
  <c r="J7" i="1"/>
  <c r="M20" i="8"/>
  <c r="P7" i="1"/>
  <c r="K22" i="8"/>
  <c r="N19" i="1"/>
  <c r="AF60"/>
  <c r="L22" i="8"/>
  <c r="O19" i="1"/>
  <c r="AG60"/>
  <c r="J21" i="8"/>
  <c r="M13" i="1"/>
  <c r="AE59"/>
  <c r="I23" i="8"/>
  <c r="L25" i="1"/>
  <c r="AD61"/>
  <c r="M22" i="8"/>
  <c r="P19" i="1"/>
  <c r="AH60"/>
  <c r="J24" i="8"/>
  <c r="M31" i="1"/>
  <c r="AE62"/>
  <c r="M21" i="8"/>
  <c r="P13" i="1"/>
  <c r="AH59"/>
  <c r="L21" i="8"/>
  <c r="O13" i="1"/>
  <c r="AG59"/>
  <c r="T95" i="8" a="1"/>
  <c r="T95"/>
  <c r="X95" a="1"/>
  <c r="X95"/>
  <c r="U95" a="1"/>
  <c r="U95"/>
  <c r="V95" a="1"/>
  <c r="V95"/>
  <c r="R95" a="1"/>
  <c r="R95"/>
  <c r="W95" a="1"/>
  <c r="W95"/>
  <c r="O99" i="3"/>
  <c r="N102"/>
  <c r="F97"/>
  <c r="G97"/>
  <c r="J97"/>
  <c r="E91"/>
  <c r="D86" a="1"/>
  <c r="D86"/>
  <c r="I31" i="4"/>
  <c r="D66" i="3" a="1"/>
  <c r="D66"/>
  <c r="E102"/>
  <c r="F96"/>
  <c r="G96"/>
  <c r="J96"/>
  <c r="O100"/>
  <c r="E93"/>
  <c r="E95"/>
  <c r="E99"/>
  <c r="B124" a="1"/>
  <c r="B124"/>
  <c r="I124" a="1"/>
  <c r="I124"/>
  <c r="B66" a="1"/>
  <c r="B66"/>
  <c r="O102"/>
  <c r="E100"/>
  <c r="E94"/>
  <c r="E98"/>
  <c r="AA40" i="1"/>
  <c r="BX26"/>
  <c r="BX115"/>
  <c r="E85" i="3"/>
  <c r="E114"/>
  <c r="E112"/>
  <c r="E118"/>
  <c r="E121"/>
  <c r="F95"/>
  <c r="G95"/>
  <c r="J95"/>
  <c r="F91"/>
  <c r="G91"/>
  <c r="E97"/>
  <c r="F93"/>
  <c r="G93"/>
  <c r="J93"/>
  <c r="F98"/>
  <c r="D124" a="1"/>
  <c r="D124"/>
  <c r="I66" a="1"/>
  <c r="I66"/>
  <c r="G124" a="1"/>
  <c r="G124"/>
  <c r="O104"/>
  <c r="N104"/>
  <c r="F94"/>
  <c r="G94"/>
  <c r="J94"/>
  <c r="E92"/>
  <c r="N100"/>
  <c r="N99"/>
  <c r="C124" a="1"/>
  <c r="C124"/>
  <c r="E103"/>
  <c r="F103"/>
  <c r="G103"/>
  <c r="F101"/>
  <c r="G101"/>
  <c r="F104"/>
  <c r="G104"/>
  <c r="F102"/>
  <c r="G102"/>
  <c r="AC59" i="1"/>
  <c r="AB61"/>
  <c r="AG62"/>
  <c r="AD40"/>
  <c r="CA26"/>
  <c r="CA115"/>
  <c r="E78" i="3"/>
  <c r="E79"/>
  <c r="R55" i="7" a="1"/>
  <c r="R55"/>
  <c r="I8"/>
  <c r="T55" a="1"/>
  <c r="T55"/>
  <c r="K8"/>
  <c r="AA55" a="1"/>
  <c r="AA55"/>
  <c r="I5"/>
  <c r="AC55" a="1"/>
  <c r="AC55"/>
  <c r="K5"/>
  <c r="AG55" a="1"/>
  <c r="AG55"/>
  <c r="F7"/>
  <c r="AI55" a="1"/>
  <c r="AI55"/>
  <c r="H7"/>
  <c r="H9"/>
  <c r="AK55" a="1"/>
  <c r="AK55"/>
  <c r="J7"/>
  <c r="AM55" a="1"/>
  <c r="AM55"/>
  <c r="L7"/>
  <c r="O55" a="1"/>
  <c r="O55"/>
  <c r="F8"/>
  <c r="S55" a="1"/>
  <c r="S55"/>
  <c r="J8"/>
  <c r="U55" a="1"/>
  <c r="U55"/>
  <c r="L8"/>
  <c r="X55" a="1"/>
  <c r="X55"/>
  <c r="F5"/>
  <c r="AB55" a="1"/>
  <c r="AB55"/>
  <c r="J5"/>
  <c r="AD55" a="1"/>
  <c r="AD55"/>
  <c r="L5"/>
  <c r="AH55" a="1"/>
  <c r="AH55"/>
  <c r="G7"/>
  <c r="G9"/>
  <c r="AJ55" a="1"/>
  <c r="AJ55"/>
  <c r="I7"/>
  <c r="AL55" a="1"/>
  <c r="AL55"/>
  <c r="K7"/>
  <c r="AN55" a="1"/>
  <c r="AN55"/>
  <c r="M7"/>
  <c r="M9"/>
  <c r="F99" i="3"/>
  <c r="G99"/>
  <c r="H66" a="1"/>
  <c r="H66"/>
  <c r="E72"/>
  <c r="E74"/>
  <c r="G46" a="1"/>
  <c r="G46"/>
  <c r="L105" a="1"/>
  <c r="L105"/>
  <c r="E73"/>
  <c r="E80"/>
  <c r="P105" a="1"/>
  <c r="P105"/>
  <c r="E75"/>
  <c r="G85"/>
  <c r="E71"/>
  <c r="E81"/>
  <c r="E83"/>
  <c r="E82"/>
  <c r="E84"/>
  <c r="D105" a="1"/>
  <c r="D105"/>
  <c r="J31" i="4"/>
  <c r="B105" i="3" a="1"/>
  <c r="B105"/>
  <c r="O101"/>
  <c r="O103"/>
  <c r="N103"/>
  <c r="E101"/>
  <c r="G11" i="20"/>
  <c r="C12" i="5"/>
  <c r="G10" i="20"/>
  <c r="G29"/>
  <c r="H29"/>
  <c r="C14" i="5"/>
  <c r="G12" i="20"/>
  <c r="C13" i="5"/>
  <c r="G9" i="3"/>
  <c r="K9"/>
  <c r="O29" i="1"/>
  <c r="AE78"/>
  <c r="H8" i="20"/>
  <c r="H9"/>
  <c r="H7"/>
  <c r="AC40" i="1"/>
  <c r="BZ26"/>
  <c r="BZ115"/>
  <c r="E19" i="22"/>
  <c r="BY27" i="1"/>
  <c r="BY116"/>
  <c r="C19" i="5" a="1"/>
  <c r="C19"/>
  <c r="C26" a="1"/>
  <c r="C26"/>
  <c r="H6" i="20"/>
  <c r="H4"/>
  <c r="H5"/>
  <c r="J9" i="7"/>
  <c r="H12" i="20"/>
  <c r="H11"/>
  <c r="H10"/>
  <c r="BW115" i="1"/>
  <c r="L9" i="7"/>
  <c r="J104" i="3"/>
  <c r="BX27" i="1"/>
  <c r="J100" i="3"/>
  <c r="I86" a="1"/>
  <c r="I86"/>
  <c r="I105" a="1"/>
  <c r="I105"/>
  <c r="J101"/>
  <c r="BX30" i="1"/>
  <c r="BX28"/>
  <c r="BY28"/>
  <c r="BX29"/>
  <c r="H105" i="3" a="1"/>
  <c r="H105"/>
  <c r="AH58" i="1"/>
  <c r="AB58"/>
  <c r="AG58"/>
  <c r="AC58"/>
  <c r="AF58"/>
  <c r="AD58"/>
  <c r="AE58"/>
  <c r="AD41"/>
  <c r="CA27"/>
  <c r="N105" i="3" a="1"/>
  <c r="N105"/>
  <c r="I9"/>
  <c r="I9" i="7"/>
  <c r="F9"/>
  <c r="K9"/>
  <c r="K105" i="3" a="1"/>
  <c r="K105"/>
  <c r="Q105" a="1"/>
  <c r="Q105"/>
  <c r="L9"/>
  <c r="O105" a="1"/>
  <c r="O105"/>
  <c r="J9"/>
  <c r="J103"/>
  <c r="J102"/>
  <c r="G66" a="1"/>
  <c r="G66"/>
  <c r="H86" a="1"/>
  <c r="H86"/>
  <c r="M105" a="1"/>
  <c r="M105"/>
  <c r="H9"/>
  <c r="L29" i="1"/>
  <c r="J99" i="3"/>
  <c r="J91"/>
  <c r="G105" a="1"/>
  <c r="G105"/>
  <c r="H32" i="20"/>
  <c r="I29"/>
  <c r="AE82" i="1"/>
  <c r="K29"/>
  <c r="AC81"/>
  <c r="N29"/>
  <c r="F9" i="3"/>
  <c r="J29" i="1"/>
  <c r="M29"/>
  <c r="P29"/>
  <c r="BN43"/>
  <c r="AK78"/>
  <c r="BZ119"/>
  <c r="AK82"/>
  <c r="BY29"/>
  <c r="BY118"/>
  <c r="BW30"/>
  <c r="BW119"/>
  <c r="BW29"/>
  <c r="BW118"/>
  <c r="BW28"/>
  <c r="BW117"/>
  <c r="BW27"/>
  <c r="BW116"/>
  <c r="AH81"/>
  <c r="CA116"/>
  <c r="BY117"/>
  <c r="BY119"/>
  <c r="BX117"/>
  <c r="AD78"/>
  <c r="AB78"/>
  <c r="AG79"/>
  <c r="AD79"/>
  <c r="AB79"/>
  <c r="AH79"/>
  <c r="AH82"/>
  <c r="AG81"/>
  <c r="AG82"/>
  <c r="AF79"/>
  <c r="AC79"/>
  <c r="AC82"/>
  <c r="AF78"/>
  <c r="AH78"/>
  <c r="AG80"/>
  <c r="AG78"/>
  <c r="AF82"/>
  <c r="AE79"/>
  <c r="AC78"/>
  <c r="J105" i="3" a="1"/>
  <c r="J105"/>
  <c r="G86" a="1"/>
  <c r="G86"/>
  <c r="I32" i="20"/>
  <c r="AC80" i="1"/>
  <c r="AF80"/>
  <c r="AD82"/>
  <c r="AI82"/>
  <c r="BN47"/>
  <c r="AF81"/>
  <c r="AE80"/>
  <c r="AH80"/>
  <c r="AD81"/>
  <c r="AE81"/>
  <c r="AJ82"/>
  <c r="AB81"/>
  <c r="AD80"/>
  <c r="AB80"/>
  <c r="BL43"/>
  <c r="AI78"/>
  <c r="BL47"/>
  <c r="BM43"/>
  <c r="AJ78"/>
  <c r="AB82"/>
  <c r="BM47"/>
  <c r="BX119"/>
  <c r="BX116"/>
  <c r="BX118"/>
  <c r="E86" i="3" a="1"/>
  <c r="E86"/>
  <c r="O8"/>
  <c r="F7" i="11"/>
  <c r="E105" i="3" a="1"/>
  <c r="E105"/>
  <c r="O9"/>
  <c r="F8" i="11"/>
  <c r="AD43" i="1"/>
  <c r="AD42"/>
  <c r="CA28"/>
  <c r="CA117"/>
  <c r="CA29"/>
  <c r="CA118"/>
  <c r="T63" i="8" a="1"/>
  <c r="T63"/>
  <c r="T101" a="1"/>
  <c r="T101"/>
  <c r="R63" a="1"/>
  <c r="R63"/>
  <c r="R101" a="1"/>
  <c r="R101"/>
  <c r="U63" a="1"/>
  <c r="U63"/>
  <c r="U101" a="1"/>
  <c r="U101"/>
  <c r="X63" a="1"/>
  <c r="X63"/>
  <c r="X101" a="1"/>
  <c r="X101"/>
  <c r="V63" a="1"/>
  <c r="V63"/>
  <c r="V101" a="1"/>
  <c r="V101"/>
  <c r="W63" a="1"/>
  <c r="W63"/>
  <c r="W101" a="1"/>
  <c r="W101"/>
  <c r="N8" i="3"/>
  <c r="F105" a="1"/>
  <c r="F105"/>
  <c r="N9"/>
  <c r="E124" a="1"/>
  <c r="E124"/>
  <c r="F138" i="8"/>
  <c r="F139"/>
  <c r="F140"/>
  <c r="F141"/>
  <c r="F142"/>
  <c r="F143"/>
  <c r="F144"/>
  <c r="F146"/>
  <c r="F147"/>
  <c r="F148"/>
  <c r="F149"/>
  <c r="E7" i="11"/>
  <c r="AC42" i="1"/>
  <c r="O10" i="3"/>
  <c r="F9" i="11"/>
  <c r="AD44" i="1"/>
  <c r="E8" i="11"/>
  <c r="AC43" i="1"/>
  <c r="N7" i="3"/>
  <c r="E6" i="11"/>
  <c r="AC41" i="1"/>
  <c r="I6" i="11"/>
  <c r="AK79" i="1"/>
  <c r="AH24"/>
  <c r="BL44"/>
  <c r="BZ29"/>
  <c r="BZ118"/>
  <c r="BZ27"/>
  <c r="BZ116"/>
  <c r="AJ24"/>
  <c r="BN44"/>
  <c r="D9" i="3"/>
  <c r="S29" i="1"/>
  <c r="AK81"/>
  <c r="AK80"/>
  <c r="C9" i="3"/>
  <c r="R29" i="1"/>
  <c r="AJ81"/>
  <c r="B9" i="3"/>
  <c r="Q29" i="1"/>
  <c r="AI81"/>
  <c r="AJ80"/>
  <c r="AI80"/>
  <c r="AI79"/>
  <c r="CA30"/>
  <c r="CA119"/>
  <c r="BZ28"/>
  <c r="BZ117"/>
  <c r="AJ25"/>
  <c r="BN45"/>
  <c r="S30"/>
  <c r="AJ26"/>
  <c r="BN46"/>
  <c r="R30"/>
  <c r="AI26"/>
  <c r="BM46"/>
  <c r="AJ79"/>
  <c r="AI25"/>
  <c r="BM45"/>
  <c r="Q30"/>
  <c r="AH26"/>
  <c r="BL46"/>
  <c r="AH25"/>
  <c r="BL45"/>
  <c r="AI24"/>
  <c r="BM44"/>
  <c r="E9" i="3"/>
  <c r="I29" i="1"/>
  <c r="T29"/>
  <c r="AC11"/>
  <c r="T17"/>
  <c r="AA11"/>
  <c r="T23"/>
  <c r="AB11"/>
  <c r="T11"/>
  <c r="Z11"/>
  <c r="AA80"/>
  <c r="AA81"/>
  <c r="AA78"/>
  <c r="AA79"/>
  <c r="F106" i="8"/>
  <c r="F116"/>
  <c r="F114"/>
  <c r="F112"/>
  <c r="F110"/>
  <c r="F108"/>
  <c r="F122"/>
  <c r="F124"/>
  <c r="F126"/>
  <c r="F128"/>
  <c r="F130"/>
  <c r="F132"/>
  <c r="Q106"/>
  <c r="Q108"/>
  <c r="Q110"/>
  <c r="Q112"/>
  <c r="Q114"/>
  <c r="Q116"/>
  <c r="Q122"/>
  <c r="Q124"/>
  <c r="Q126"/>
  <c r="Q128"/>
  <c r="Q130"/>
  <c r="Q132"/>
  <c r="Q138"/>
  <c r="Q140"/>
  <c r="Q142"/>
  <c r="Q144"/>
  <c r="Q146"/>
  <c r="Q148"/>
  <c r="F155"/>
  <c r="F157"/>
  <c r="F159"/>
  <c r="F161"/>
  <c r="F163"/>
  <c r="F165"/>
  <c r="F169"/>
  <c r="F167"/>
  <c r="Q156"/>
  <c r="Q158"/>
  <c r="Q160"/>
  <c r="Q162"/>
  <c r="Q164"/>
  <c r="Q166"/>
  <c r="Q168"/>
  <c r="Q174"/>
  <c r="Q176"/>
  <c r="Q178"/>
  <c r="Q180"/>
  <c r="Q182"/>
  <c r="Q184"/>
  <c r="Q186"/>
  <c r="Q188"/>
  <c r="F175"/>
  <c r="F177"/>
  <c r="F179"/>
  <c r="F181"/>
  <c r="F183"/>
  <c r="F185"/>
  <c r="F187"/>
  <c r="F193"/>
  <c r="F195"/>
  <c r="F197"/>
  <c r="F199"/>
  <c r="F201"/>
  <c r="F203"/>
  <c r="F205"/>
  <c r="F207"/>
  <c r="Q193"/>
  <c r="Q195"/>
  <c r="Q197"/>
  <c r="Q199"/>
  <c r="Q201"/>
  <c r="Q203"/>
  <c r="Q205"/>
  <c r="Q207"/>
  <c r="F117"/>
  <c r="F115"/>
  <c r="F111"/>
  <c r="F109"/>
  <c r="F107"/>
  <c r="F123"/>
  <c r="F125"/>
  <c r="F127"/>
  <c r="F131"/>
  <c r="F133"/>
  <c r="Q107"/>
  <c r="Q109"/>
  <c r="Q111"/>
  <c r="Q113"/>
  <c r="Q115"/>
  <c r="Q117"/>
  <c r="Q123"/>
  <c r="Q125"/>
  <c r="Q127"/>
  <c r="Q129"/>
  <c r="Q131"/>
  <c r="Q133"/>
  <c r="Q139"/>
  <c r="Q141"/>
  <c r="Q143"/>
  <c r="Q145"/>
  <c r="Q147"/>
  <c r="Q149"/>
  <c r="F156"/>
  <c r="F158"/>
  <c r="F160"/>
  <c r="F162"/>
  <c r="F164"/>
  <c r="F166"/>
  <c r="F168"/>
  <c r="Q155"/>
  <c r="Q157"/>
  <c r="Q159"/>
  <c r="Q161"/>
  <c r="Q163"/>
  <c r="Q165"/>
  <c r="Q167"/>
  <c r="Q169"/>
  <c r="Q175"/>
  <c r="Q177"/>
  <c r="Q179"/>
  <c r="Q181"/>
  <c r="Q183"/>
  <c r="Q185"/>
  <c r="Q187"/>
  <c r="F174"/>
  <c r="F176"/>
  <c r="F178"/>
  <c r="F180"/>
  <c r="F182"/>
  <c r="F184"/>
  <c r="F186"/>
  <c r="F188"/>
  <c r="F194"/>
  <c r="F196"/>
  <c r="F198"/>
  <c r="F200"/>
  <c r="F202"/>
  <c r="F204"/>
  <c r="F206"/>
  <c r="Q194"/>
  <c r="Q196"/>
  <c r="Q198"/>
  <c r="Q200"/>
  <c r="Q202"/>
  <c r="Q204"/>
  <c r="Q206"/>
  <c r="AH43" i="1"/>
  <c r="CE29"/>
  <c r="AH42"/>
  <c r="CE28"/>
  <c r="AH41"/>
  <c r="CE27"/>
  <c r="F208" i="8" a="1"/>
  <c r="F208"/>
  <c r="F16"/>
  <c r="N16"/>
  <c r="F18"/>
  <c r="N18"/>
  <c r="Q170" a="1"/>
  <c r="Q170"/>
  <c r="Q14"/>
  <c r="Y14"/>
  <c r="F17"/>
  <c r="N17"/>
  <c r="Q189" a="1"/>
  <c r="Q189"/>
  <c r="Q15"/>
  <c r="Y15"/>
  <c r="F189" a="1"/>
  <c r="F189"/>
  <c r="F15"/>
  <c r="N15"/>
  <c r="Q208" a="1"/>
  <c r="Q208"/>
  <c r="Q18"/>
  <c r="Q17"/>
  <c r="Q16"/>
  <c r="J124" i="3" a="1"/>
  <c r="J124"/>
  <c r="E10"/>
  <c r="I35" i="1"/>
  <c r="T35"/>
  <c r="AD11"/>
  <c r="D14" i="23" a="1"/>
  <c r="D14"/>
  <c r="B6"/>
  <c r="AE42" i="1"/>
  <c r="B8" i="23"/>
  <c r="AE44" i="1"/>
  <c r="B7" i="23"/>
  <c r="AE43" i="1"/>
  <c r="AA82"/>
  <c r="H7" i="11"/>
  <c r="I7"/>
  <c r="H8"/>
  <c r="I8"/>
  <c r="H9"/>
  <c r="I9"/>
  <c r="CB30" i="1"/>
  <c r="CB29"/>
  <c r="CB28"/>
  <c r="Q134" i="8" a="1"/>
  <c r="Q134"/>
  <c r="Q9"/>
  <c r="F134" a="1"/>
  <c r="F134"/>
  <c r="F9"/>
  <c r="F21"/>
  <c r="I13" i="1"/>
  <c r="Q21" i="8"/>
  <c r="I14" i="1"/>
  <c r="T13"/>
  <c r="AA7"/>
  <c r="AA59"/>
  <c r="N9" i="8"/>
  <c r="N21"/>
  <c r="AA64" i="1"/>
  <c r="R134" i="8" a="1"/>
  <c r="R134"/>
  <c r="R9"/>
  <c r="R21"/>
  <c r="J14" i="1"/>
  <c r="S134" i="8" a="1"/>
  <c r="S134"/>
  <c r="S9"/>
  <c r="S21"/>
  <c r="K14" i="1"/>
  <c r="T134" i="8" a="1"/>
  <c r="T134"/>
  <c r="T9"/>
  <c r="T21"/>
  <c r="L14" i="1"/>
  <c r="U134" i="8" a="1"/>
  <c r="U134"/>
  <c r="U9"/>
  <c r="U21"/>
  <c r="M14" i="1"/>
  <c r="V134" i="8" a="1"/>
  <c r="V134"/>
  <c r="V9"/>
  <c r="V21"/>
  <c r="N14" i="1"/>
  <c r="W134" i="8" a="1"/>
  <c r="W134"/>
  <c r="W9"/>
  <c r="W21"/>
  <c r="O14" i="1"/>
  <c r="X134" i="8" a="1"/>
  <c r="X134"/>
  <c r="X9"/>
  <c r="X21"/>
  <c r="P14" i="1"/>
  <c r="T14"/>
  <c r="AA8"/>
  <c r="Y9" i="8"/>
  <c r="Y21"/>
  <c r="AG64" i="1"/>
  <c r="AF64"/>
  <c r="AB64"/>
  <c r="AD64"/>
  <c r="AH64"/>
  <c r="AE64"/>
  <c r="AC64"/>
  <c r="M77" i="21" a="1"/>
  <c r="M77"/>
  <c r="M6"/>
  <c r="M8"/>
  <c r="M231" a="1"/>
  <c r="M231"/>
  <c r="M7"/>
  <c r="M9"/>
  <c r="M10"/>
  <c r="O15" i="1"/>
  <c r="L55" i="7" a="1"/>
  <c r="L55"/>
  <c r="L6"/>
  <c r="L10"/>
  <c r="L16"/>
  <c r="O16" i="1"/>
  <c r="O18"/>
  <c r="AF24"/>
  <c r="BJ44"/>
  <c r="BJ189"/>
  <c r="J77" i="21" a="1"/>
  <c r="J77"/>
  <c r="J6"/>
  <c r="J8"/>
  <c r="J231" a="1"/>
  <c r="J231"/>
  <c r="J7"/>
  <c r="J9"/>
  <c r="J10"/>
  <c r="L15" i="1"/>
  <c r="I55" i="7" a="1"/>
  <c r="I55"/>
  <c r="I6"/>
  <c r="I10"/>
  <c r="I16"/>
  <c r="L16" i="1"/>
  <c r="L18"/>
  <c r="AC24"/>
  <c r="BG44"/>
  <c r="BG189"/>
  <c r="K77" i="21" a="1"/>
  <c r="K77"/>
  <c r="K6"/>
  <c r="K8"/>
  <c r="K231" a="1"/>
  <c r="K231"/>
  <c r="K7"/>
  <c r="K9"/>
  <c r="K10"/>
  <c r="M15" i="1"/>
  <c r="J55" i="7" a="1"/>
  <c r="J55"/>
  <c r="J6"/>
  <c r="J10"/>
  <c r="J16"/>
  <c r="M16" i="1"/>
  <c r="M18"/>
  <c r="AD24"/>
  <c r="BH44"/>
  <c r="BH189"/>
  <c r="L77" i="21" a="1"/>
  <c r="L77"/>
  <c r="L6"/>
  <c r="L8"/>
  <c r="L231" a="1"/>
  <c r="L231"/>
  <c r="L7"/>
  <c r="L9"/>
  <c r="L10"/>
  <c r="N15" i="1"/>
  <c r="K55" i="7" a="1"/>
  <c r="K55"/>
  <c r="K6"/>
  <c r="K10"/>
  <c r="K16"/>
  <c r="N16" i="1"/>
  <c r="N18"/>
  <c r="AE24"/>
  <c r="BI44"/>
  <c r="BI189"/>
  <c r="H77" i="21" a="1"/>
  <c r="H77"/>
  <c r="H6"/>
  <c r="H8"/>
  <c r="H231" a="1"/>
  <c r="H231"/>
  <c r="H7"/>
  <c r="H9"/>
  <c r="H10"/>
  <c r="J15" i="1"/>
  <c r="P55" i="7" a="1"/>
  <c r="P55"/>
  <c r="G8"/>
  <c r="G10"/>
  <c r="G16"/>
  <c r="J16" i="1"/>
  <c r="J18"/>
  <c r="AA24"/>
  <c r="BE44"/>
  <c r="BE189"/>
  <c r="N77" i="21" a="1"/>
  <c r="N77"/>
  <c r="N6"/>
  <c r="N8"/>
  <c r="N231" a="1"/>
  <c r="N231"/>
  <c r="N7"/>
  <c r="N9"/>
  <c r="N10"/>
  <c r="P15" i="1"/>
  <c r="V55" i="7" a="1"/>
  <c r="V55"/>
  <c r="M8"/>
  <c r="M10"/>
  <c r="M16"/>
  <c r="P16" i="1"/>
  <c r="P18"/>
  <c r="AG24"/>
  <c r="BK44"/>
  <c r="BK189"/>
  <c r="F150" i="8" a="1"/>
  <c r="F150"/>
  <c r="F10"/>
  <c r="F22"/>
  <c r="I19" i="1"/>
  <c r="Q150" i="8" a="1"/>
  <c r="Q150"/>
  <c r="Q10"/>
  <c r="Q22"/>
  <c r="I20" i="1"/>
  <c r="G77" i="21" a="1"/>
  <c r="G77"/>
  <c r="G6"/>
  <c r="G8"/>
  <c r="G231" a="1"/>
  <c r="G231"/>
  <c r="G7"/>
  <c r="G9"/>
  <c r="G10"/>
  <c r="I21" i="1"/>
  <c r="J21"/>
  <c r="G17" i="7"/>
  <c r="J22" i="1"/>
  <c r="I77" i="21" a="1"/>
  <c r="I77"/>
  <c r="I6"/>
  <c r="I8"/>
  <c r="I231" a="1"/>
  <c r="I231"/>
  <c r="I7"/>
  <c r="I9"/>
  <c r="I10"/>
  <c r="K21" i="1"/>
  <c r="Q55" i="7" a="1"/>
  <c r="Q55"/>
  <c r="H8"/>
  <c r="H10"/>
  <c r="H17"/>
  <c r="K22" i="1"/>
  <c r="L21"/>
  <c r="I17" i="7"/>
  <c r="L22" i="1"/>
  <c r="M21"/>
  <c r="J17" i="7"/>
  <c r="M22" i="1"/>
  <c r="N21"/>
  <c r="K17" i="7"/>
  <c r="N22" i="1"/>
  <c r="O21"/>
  <c r="L17" i="7"/>
  <c r="O22" i="1"/>
  <c r="P21"/>
  <c r="M17" i="7"/>
  <c r="P22" i="1"/>
  <c r="I15"/>
  <c r="K15"/>
  <c r="H16" i="7"/>
  <c r="K16" i="1"/>
  <c r="K18"/>
  <c r="AB24"/>
  <c r="F11" i="8"/>
  <c r="F23"/>
  <c r="I25" i="1"/>
  <c r="Q11" i="8"/>
  <c r="Q23"/>
  <c r="I26" i="1"/>
  <c r="I27"/>
  <c r="J27"/>
  <c r="G18" i="7"/>
  <c r="J28" i="1"/>
  <c r="K27"/>
  <c r="H18" i="7"/>
  <c r="K28" i="1"/>
  <c r="L27"/>
  <c r="I18" i="7"/>
  <c r="L28" i="1"/>
  <c r="M27"/>
  <c r="J18" i="7"/>
  <c r="M28" i="1"/>
  <c r="N27"/>
  <c r="K18" i="7"/>
  <c r="N28" i="1"/>
  <c r="O27"/>
  <c r="L18" i="7"/>
  <c r="O28" i="1"/>
  <c r="P27"/>
  <c r="M18" i="7"/>
  <c r="P28" i="1"/>
  <c r="F12" i="8"/>
  <c r="F24"/>
  <c r="I31" i="1"/>
  <c r="Q12" i="8"/>
  <c r="Q24"/>
  <c r="I32" i="1"/>
  <c r="I33"/>
  <c r="J33"/>
  <c r="G19" i="7"/>
  <c r="J34" i="1"/>
  <c r="K33"/>
  <c r="H19" i="7"/>
  <c r="K34" i="1"/>
  <c r="L33"/>
  <c r="I19" i="7"/>
  <c r="L34" i="1"/>
  <c r="M33"/>
  <c r="J19" i="7"/>
  <c r="M34" i="1"/>
  <c r="N33"/>
  <c r="K19" i="7"/>
  <c r="N34" i="1"/>
  <c r="O33"/>
  <c r="L19" i="7"/>
  <c r="O34" i="1"/>
  <c r="P33"/>
  <c r="M19" i="7"/>
  <c r="P34" i="1"/>
  <c r="Q118" i="8" a="1"/>
  <c r="Q118"/>
  <c r="Q8"/>
  <c r="Q20"/>
  <c r="I8" i="1"/>
  <c r="I9"/>
  <c r="J9"/>
  <c r="G15" i="7"/>
  <c r="J10" i="1"/>
  <c r="K9"/>
  <c r="H15" i="7"/>
  <c r="K10" i="1"/>
  <c r="L9"/>
  <c r="I15" i="7"/>
  <c r="L10" i="1"/>
  <c r="M9"/>
  <c r="J15" i="7"/>
  <c r="M10" i="1"/>
  <c r="N9"/>
  <c r="K15" i="7"/>
  <c r="N10" i="1"/>
  <c r="O9"/>
  <c r="L15" i="7"/>
  <c r="O10" i="1"/>
  <c r="P9"/>
  <c r="M15" i="7"/>
  <c r="P10" i="1"/>
  <c r="T15"/>
  <c r="AA9"/>
  <c r="T9"/>
  <c r="Z9"/>
  <c r="BF44"/>
  <c r="BF189"/>
  <c r="AA63"/>
  <c r="AB77"/>
  <c r="AC77"/>
  <c r="AG77"/>
  <c r="AE77"/>
  <c r="AD77"/>
  <c r="AF69"/>
  <c r="AB69"/>
  <c r="AD69"/>
  <c r="AH69"/>
  <c r="AE69"/>
  <c r="AC69"/>
  <c r="AG69"/>
  <c r="AF70"/>
  <c r="AC70"/>
  <c r="AB70"/>
  <c r="AE70"/>
  <c r="AG71"/>
  <c r="AA71"/>
  <c r="AB71"/>
  <c r="AG70"/>
  <c r="AH70"/>
  <c r="AD70"/>
  <c r="AA70"/>
  <c r="AA69"/>
  <c r="AH77"/>
  <c r="AF77"/>
  <c r="AF71"/>
  <c r="AC71"/>
  <c r="AH71"/>
  <c r="AD71"/>
  <c r="AE71"/>
  <c r="O8" i="21"/>
  <c r="O9"/>
  <c r="AA68" i="1"/>
  <c r="AD68"/>
  <c r="AF68"/>
  <c r="AE68"/>
  <c r="O10" i="21"/>
  <c r="N8" i="7"/>
  <c r="AG74" i="1"/>
  <c r="AE74"/>
  <c r="AD74"/>
  <c r="AE72"/>
  <c r="AD72"/>
  <c r="AB72"/>
  <c r="AC72"/>
  <c r="AH72"/>
  <c r="AG72"/>
  <c r="AF72"/>
  <c r="AB68"/>
  <c r="AC68"/>
  <c r="AH68"/>
  <c r="AG68"/>
  <c r="AH74"/>
  <c r="AB73"/>
  <c r="AC74"/>
  <c r="AH73"/>
  <c r="AB74"/>
  <c r="AC73"/>
  <c r="AE73"/>
  <c r="AF73"/>
  <c r="AG73"/>
  <c r="AA72"/>
  <c r="AF74"/>
  <c r="AD73"/>
  <c r="AD75"/>
  <c r="AG76"/>
  <c r="AG75"/>
  <c r="AF75"/>
  <c r="AB75"/>
  <c r="AE75"/>
  <c r="AH75"/>
  <c r="AC75"/>
  <c r="AD76"/>
  <c r="AF76"/>
  <c r="AE76"/>
  <c r="AH76"/>
  <c r="AC76"/>
  <c r="AB76"/>
  <c r="T25"/>
  <c r="AC7"/>
  <c r="T27"/>
  <c r="AC9"/>
  <c r="T31"/>
  <c r="AD7"/>
  <c r="T33"/>
  <c r="AD9"/>
  <c r="T19"/>
  <c r="AB7"/>
  <c r="T21"/>
  <c r="AB9"/>
  <c r="N12" i="8"/>
  <c r="N10"/>
  <c r="N11"/>
  <c r="AA61" i="1"/>
  <c r="AA62"/>
  <c r="N22" i="8"/>
  <c r="N23"/>
  <c r="AA67" i="1"/>
  <c r="AA60"/>
  <c r="AA66"/>
  <c r="AA65"/>
  <c r="N24" i="8"/>
  <c r="R118" a="1"/>
  <c r="R118"/>
  <c r="R8"/>
  <c r="R20"/>
  <c r="J8" i="1"/>
  <c r="J12"/>
  <c r="S118" i="8" a="1"/>
  <c r="S118"/>
  <c r="S8"/>
  <c r="S20"/>
  <c r="K8" i="1"/>
  <c r="K12"/>
  <c r="T118" i="8" a="1"/>
  <c r="T118"/>
  <c r="T8"/>
  <c r="T20"/>
  <c r="L8" i="1"/>
  <c r="L12"/>
  <c r="U118" i="8" a="1"/>
  <c r="U118"/>
  <c r="U8"/>
  <c r="U20"/>
  <c r="M8" i="1"/>
  <c r="M12"/>
  <c r="V118" i="8" a="1"/>
  <c r="V118"/>
  <c r="V8"/>
  <c r="V20"/>
  <c r="N8" i="1"/>
  <c r="N12"/>
  <c r="W118" i="8" a="1"/>
  <c r="W118"/>
  <c r="W8"/>
  <c r="W20"/>
  <c r="O8" i="1"/>
  <c r="O12"/>
  <c r="X118" i="8" a="1"/>
  <c r="X118"/>
  <c r="X8"/>
  <c r="X20"/>
  <c r="P8" i="1"/>
  <c r="P12"/>
  <c r="R150" i="8" a="1"/>
  <c r="R150"/>
  <c r="R208" a="1"/>
  <c r="R208"/>
  <c r="S150" a="1"/>
  <c r="S150"/>
  <c r="S10"/>
  <c r="S208" a="1"/>
  <c r="S208"/>
  <c r="S16"/>
  <c r="S22"/>
  <c r="K20" i="1"/>
  <c r="K24"/>
  <c r="T150" i="8" a="1"/>
  <c r="T150"/>
  <c r="T208" a="1"/>
  <c r="T208"/>
  <c r="U150" a="1"/>
  <c r="U150"/>
  <c r="U208" a="1"/>
  <c r="U208"/>
  <c r="V150" a="1"/>
  <c r="V150"/>
  <c r="V208" a="1"/>
  <c r="V208"/>
  <c r="W150" a="1"/>
  <c r="W150"/>
  <c r="W208" a="1"/>
  <c r="W208"/>
  <c r="X150" a="1"/>
  <c r="X150"/>
  <c r="X208" a="1"/>
  <c r="X208"/>
  <c r="R11"/>
  <c r="S11"/>
  <c r="T11"/>
  <c r="U11"/>
  <c r="V11"/>
  <c r="W11"/>
  <c r="X11"/>
  <c r="Y11"/>
  <c r="R17"/>
  <c r="S17"/>
  <c r="T17"/>
  <c r="U17"/>
  <c r="V17"/>
  <c r="W17"/>
  <c r="X17"/>
  <c r="Y17"/>
  <c r="Y23"/>
  <c r="R12"/>
  <c r="S12"/>
  <c r="T12"/>
  <c r="U12"/>
  <c r="V12"/>
  <c r="W12"/>
  <c r="X12"/>
  <c r="Y12"/>
  <c r="R18"/>
  <c r="S18"/>
  <c r="T18"/>
  <c r="U18"/>
  <c r="V18"/>
  <c r="W18"/>
  <c r="X18"/>
  <c r="Y18"/>
  <c r="Y24"/>
  <c r="R23"/>
  <c r="J26" i="1"/>
  <c r="J30"/>
  <c r="S23" i="8"/>
  <c r="K26" i="1"/>
  <c r="K30"/>
  <c r="T23" i="8"/>
  <c r="L26" i="1"/>
  <c r="L30"/>
  <c r="U23" i="8"/>
  <c r="M26" i="1"/>
  <c r="M30"/>
  <c r="V23" i="8"/>
  <c r="N26" i="1"/>
  <c r="N30"/>
  <c r="W23" i="8"/>
  <c r="O26" i="1"/>
  <c r="O30"/>
  <c r="X23" i="8"/>
  <c r="P26" i="1"/>
  <c r="P30"/>
  <c r="R24" i="8"/>
  <c r="J32" i="1"/>
  <c r="J36"/>
  <c r="S24" i="8"/>
  <c r="K32" i="1"/>
  <c r="K36"/>
  <c r="T24" i="8"/>
  <c r="L32" i="1"/>
  <c r="L36"/>
  <c r="U24" i="8"/>
  <c r="M32" i="1"/>
  <c r="M36"/>
  <c r="V24" i="8"/>
  <c r="N32" i="1"/>
  <c r="N36"/>
  <c r="W24" i="8"/>
  <c r="O32" i="1"/>
  <c r="O36"/>
  <c r="X24" i="8"/>
  <c r="P32" i="1"/>
  <c r="P36"/>
  <c r="T32"/>
  <c r="AD8"/>
  <c r="T26"/>
  <c r="AC8"/>
  <c r="AG27"/>
  <c r="BK47"/>
  <c r="BK192"/>
  <c r="AF26"/>
  <c r="BJ46"/>
  <c r="BJ191"/>
  <c r="AE26"/>
  <c r="BI46"/>
  <c r="BI191"/>
  <c r="AD27"/>
  <c r="BH47"/>
  <c r="BH192"/>
  <c r="AC26"/>
  <c r="BG46"/>
  <c r="BG191"/>
  <c r="AC27"/>
  <c r="BG47"/>
  <c r="BG192"/>
  <c r="AD26"/>
  <c r="BH46"/>
  <c r="BH191"/>
  <c r="AF27"/>
  <c r="BJ47"/>
  <c r="BJ192"/>
  <c r="AA27"/>
  <c r="BE47"/>
  <c r="BE192"/>
  <c r="AG26"/>
  <c r="BK46"/>
  <c r="BK191"/>
  <c r="AB26"/>
  <c r="BF46"/>
  <c r="BF191"/>
  <c r="AB27"/>
  <c r="BF47"/>
  <c r="BF192"/>
  <c r="AE27"/>
  <c r="BI47"/>
  <c r="BI192"/>
  <c r="AA26"/>
  <c r="BE46"/>
  <c r="BE191"/>
  <c r="AB25"/>
  <c r="BF45"/>
  <c r="BF190"/>
  <c r="Y8" i="8"/>
  <c r="Y20"/>
  <c r="AF23" i="1"/>
  <c r="BJ43"/>
  <c r="BJ188"/>
  <c r="AG23"/>
  <c r="BK43"/>
  <c r="BK188"/>
  <c r="AC23"/>
  <c r="BG43"/>
  <c r="BG188"/>
  <c r="AA23"/>
  <c r="BE43"/>
  <c r="BE188"/>
  <c r="AB23"/>
  <c r="BF43"/>
  <c r="BF188"/>
  <c r="AE23"/>
  <c r="BI43"/>
  <c r="BI188"/>
  <c r="AD23"/>
  <c r="BH43"/>
  <c r="BH188"/>
  <c r="T8"/>
  <c r="Z8"/>
  <c r="AF63"/>
  <c r="AD63"/>
  <c r="AB63"/>
  <c r="AC63"/>
  <c r="AH63"/>
  <c r="AE63"/>
  <c r="AG63"/>
  <c r="AB66"/>
  <c r="AF66"/>
  <c r="AH66"/>
  <c r="AD66"/>
  <c r="AE66"/>
  <c r="AC65"/>
  <c r="AC66"/>
  <c r="AC67"/>
  <c r="AD67"/>
  <c r="AB67"/>
  <c r="AE67"/>
  <c r="AH67"/>
  <c r="AF67"/>
  <c r="AG66"/>
  <c r="AG67"/>
  <c r="F118" i="8" a="1"/>
  <c r="F118"/>
  <c r="F8"/>
  <c r="N8"/>
  <c r="F55" i="7" a="1"/>
  <c r="F55"/>
  <c r="F6"/>
  <c r="F10"/>
  <c r="F15"/>
  <c r="I10" i="1"/>
  <c r="F19" i="7"/>
  <c r="I34" i="1"/>
  <c r="I36"/>
  <c r="T36"/>
  <c r="AK27"/>
  <c r="F17" i="7"/>
  <c r="I22" i="1"/>
  <c r="I24"/>
  <c r="F16" i="7"/>
  <c r="I16" i="1"/>
  <c r="I18"/>
  <c r="T18"/>
  <c r="AK24"/>
  <c r="AG41"/>
  <c r="AI41"/>
  <c r="Z24"/>
  <c r="AK41"/>
  <c r="I45"/>
  <c r="Z25"/>
  <c r="AK42"/>
  <c r="T10"/>
  <c r="Z10"/>
  <c r="F18" i="7"/>
  <c r="I28" i="1"/>
  <c r="I30"/>
  <c r="T30"/>
  <c r="AK26"/>
  <c r="AG43"/>
  <c r="AI43"/>
  <c r="I49"/>
  <c r="AG44"/>
  <c r="AI44"/>
  <c r="I51"/>
  <c r="Z27"/>
  <c r="AK44"/>
  <c r="Z26"/>
  <c r="AK43"/>
  <c r="AR27"/>
  <c r="BA68"/>
  <c r="BO68"/>
  <c r="BP68"/>
  <c r="AR33"/>
  <c r="BA74"/>
  <c r="BO74"/>
  <c r="BP74"/>
  <c r="AR69"/>
  <c r="BA110"/>
  <c r="BO110"/>
  <c r="BO201"/>
  <c r="AR63"/>
  <c r="BA104"/>
  <c r="BO104"/>
  <c r="BO207"/>
  <c r="BP110"/>
  <c r="BP201"/>
  <c r="BP104"/>
  <c r="BP207"/>
  <c r="BA201"/>
  <c r="BA207"/>
  <c r="AR51"/>
  <c r="BA92"/>
  <c r="BP92"/>
  <c r="BO92"/>
  <c r="AR45"/>
  <c r="BA86"/>
  <c r="BP86"/>
  <c r="BO86"/>
  <c r="AR39"/>
  <c r="BA80"/>
  <c r="BP80"/>
  <c r="BO80"/>
  <c r="AR21"/>
  <c r="BA62"/>
  <c r="BP62"/>
  <c r="AR15"/>
  <c r="BA56"/>
  <c r="BP56"/>
  <c r="BO62"/>
  <c r="AR9"/>
  <c r="BA50"/>
  <c r="BP50"/>
  <c r="BP195"/>
  <c r="BO50"/>
  <c r="BO195"/>
  <c r="BA195"/>
  <c r="AR99"/>
  <c r="BA122"/>
  <c r="BO122"/>
  <c r="AR93"/>
  <c r="BA116"/>
  <c r="BO116"/>
  <c r="AU81"/>
  <c r="BT51"/>
  <c r="CF51"/>
  <c r="CF128"/>
  <c r="CG51"/>
  <c r="CG128"/>
  <c r="AU69"/>
  <c r="BT39"/>
  <c r="CF39"/>
  <c r="CG39"/>
  <c r="AU75"/>
  <c r="BT45"/>
  <c r="CG45"/>
  <c r="CG122"/>
  <c r="CF45"/>
  <c r="CF122"/>
  <c r="AU63"/>
  <c r="BT33"/>
  <c r="CG33"/>
  <c r="CG134"/>
  <c r="BT134"/>
  <c r="CF33"/>
  <c r="CF134"/>
  <c r="AU87"/>
  <c r="BT57"/>
  <c r="CF57"/>
  <c r="CG57"/>
  <c r="AU93"/>
  <c r="BT63"/>
  <c r="CF63"/>
  <c r="CG63"/>
  <c r="AU99"/>
  <c r="BT69"/>
  <c r="CG69"/>
  <c r="CF69"/>
  <c r="BO56"/>
  <c r="AR57"/>
  <c r="BA98"/>
  <c r="BP98"/>
  <c r="AU9"/>
  <c r="AU21"/>
  <c r="AU15"/>
  <c r="AU33"/>
  <c r="AU27"/>
  <c r="AU45"/>
  <c r="AU39"/>
  <c r="AU57"/>
  <c r="AU51"/>
  <c r="BT128"/>
  <c r="BT122"/>
  <c r="AU117"/>
  <c r="BT87"/>
  <c r="CF87"/>
  <c r="CG87"/>
  <c r="BO98"/>
  <c r="BP116"/>
  <c r="BP122"/>
  <c r="AR105"/>
  <c r="BA128"/>
  <c r="BO128"/>
  <c r="BP128"/>
  <c r="AR111"/>
  <c r="BA134"/>
  <c r="BO134"/>
  <c r="BP134"/>
  <c r="AR117"/>
  <c r="BA140"/>
  <c r="BP140"/>
  <c r="BO140"/>
  <c r="CD27"/>
  <c r="CD116"/>
  <c r="AR81"/>
  <c r="AR75"/>
  <c r="AR87"/>
  <c r="AU111"/>
  <c r="BT81"/>
  <c r="CG81"/>
  <c r="CF81"/>
  <c r="AU105"/>
  <c r="BT75"/>
  <c r="CG75"/>
  <c r="CF75"/>
  <c r="T16"/>
  <c r="AA10"/>
  <c r="AA12"/>
  <c r="AM44"/>
  <c r="BD47"/>
  <c r="BD192"/>
  <c r="BD45"/>
  <c r="BD190"/>
  <c r="BD46"/>
  <c r="BD191"/>
  <c r="AM43"/>
  <c r="AA77"/>
  <c r="N6" i="7"/>
  <c r="N10"/>
  <c r="AA74" i="1"/>
  <c r="AA73"/>
  <c r="AA76"/>
  <c r="AA75"/>
  <c r="BD44"/>
  <c r="BD189"/>
  <c r="T22"/>
  <c r="AB10"/>
  <c r="AU113"/>
  <c r="BT83"/>
  <c r="CF83"/>
  <c r="AU108"/>
  <c r="BT78"/>
  <c r="CF78"/>
  <c r="AU107"/>
  <c r="BT77"/>
  <c r="CF77"/>
  <c r="CG77"/>
  <c r="AU114"/>
  <c r="BT84"/>
  <c r="CG84"/>
  <c r="CF84"/>
  <c r="CG83"/>
  <c r="CG78"/>
  <c r="AU120"/>
  <c r="BT90"/>
  <c r="CG90"/>
  <c r="CF90"/>
  <c r="AU119"/>
  <c r="BT89"/>
  <c r="CF89"/>
  <c r="CG89"/>
  <c r="AU78"/>
  <c r="BT48"/>
  <c r="BT125"/>
  <c r="AU84"/>
  <c r="BT54"/>
  <c r="BT131"/>
  <c r="AU77"/>
  <c r="BT47"/>
  <c r="BT124"/>
  <c r="AU83"/>
  <c r="BT53"/>
  <c r="BT130"/>
  <c r="AU54"/>
  <c r="AU60"/>
  <c r="AU53"/>
  <c r="AU59"/>
  <c r="AU41"/>
  <c r="AU47"/>
  <c r="AU42"/>
  <c r="AU48"/>
  <c r="AU30"/>
  <c r="AU36"/>
  <c r="AU29"/>
  <c r="AU35"/>
  <c r="AU17"/>
  <c r="AU23"/>
  <c r="AU18"/>
  <c r="AU24"/>
  <c r="AU12"/>
  <c r="AU11"/>
  <c r="AU102"/>
  <c r="BT72"/>
  <c r="CF72"/>
  <c r="CG72"/>
  <c r="AU101"/>
  <c r="BT71"/>
  <c r="CF71"/>
  <c r="CG71"/>
  <c r="AU96"/>
  <c r="BT66"/>
  <c r="CF66"/>
  <c r="CG66"/>
  <c r="AU95"/>
  <c r="BT65"/>
  <c r="CG65"/>
  <c r="CF65"/>
  <c r="AU90"/>
  <c r="BT60"/>
  <c r="CF60"/>
  <c r="CG60"/>
  <c r="AU89"/>
  <c r="BT59"/>
  <c r="CG59"/>
  <c r="CF59"/>
  <c r="AU66"/>
  <c r="BT36"/>
  <c r="CF36"/>
  <c r="CF137"/>
  <c r="BT137"/>
  <c r="CG36"/>
  <c r="CG137"/>
  <c r="AU65"/>
  <c r="BT35"/>
  <c r="CF35"/>
  <c r="CF136"/>
  <c r="BT136"/>
  <c r="CG35"/>
  <c r="CG136"/>
  <c r="CF47"/>
  <c r="CF124"/>
  <c r="CG47"/>
  <c r="CG124"/>
  <c r="CF48"/>
  <c r="CF125"/>
  <c r="CG48"/>
  <c r="CG125"/>
  <c r="AU72"/>
  <c r="BT42"/>
  <c r="CG42"/>
  <c r="CF42"/>
  <c r="AU71"/>
  <c r="BT41"/>
  <c r="CG41"/>
  <c r="CF41"/>
  <c r="CG53"/>
  <c r="CG130"/>
  <c r="CF53"/>
  <c r="CF130"/>
  <c r="CF54"/>
  <c r="CF131"/>
  <c r="CG54"/>
  <c r="CG131"/>
  <c r="AR66"/>
  <c r="BA107"/>
  <c r="BP107"/>
  <c r="BP210"/>
  <c r="BO107"/>
  <c r="BO210"/>
  <c r="AR30"/>
  <c r="BA71"/>
  <c r="BO71"/>
  <c r="BP71"/>
  <c r="AR36"/>
  <c r="BA77"/>
  <c r="BP77"/>
  <c r="BO77"/>
  <c r="AR72"/>
  <c r="BA113"/>
  <c r="BO113"/>
  <c r="BO204"/>
  <c r="BP113"/>
  <c r="BP204"/>
  <c r="BA210"/>
  <c r="BA204"/>
  <c r="AR54"/>
  <c r="BA95"/>
  <c r="BP95"/>
  <c r="AR48"/>
  <c r="BA89"/>
  <c r="BP89"/>
  <c r="BO89"/>
  <c r="AR42"/>
  <c r="BA83"/>
  <c r="BP83"/>
  <c r="BO95"/>
  <c r="BO83"/>
  <c r="AR24"/>
  <c r="BA65"/>
  <c r="BP65"/>
  <c r="AR18"/>
  <c r="BA59"/>
  <c r="BO59"/>
  <c r="BO65"/>
  <c r="AR12"/>
  <c r="BA53"/>
  <c r="BO53"/>
  <c r="BO198"/>
  <c r="BP53"/>
  <c r="BP198"/>
  <c r="AR102"/>
  <c r="BA125"/>
  <c r="BO125"/>
  <c r="BA198"/>
  <c r="AR96"/>
  <c r="BA119"/>
  <c r="BO119"/>
  <c r="BP59"/>
  <c r="BP125"/>
  <c r="AR60"/>
  <c r="BA101"/>
  <c r="BO101"/>
  <c r="BP119"/>
  <c r="BP101"/>
  <c r="AR108"/>
  <c r="BA131"/>
  <c r="BP131"/>
  <c r="BO131"/>
  <c r="AR114"/>
  <c r="BA137"/>
  <c r="BO137"/>
  <c r="AR120"/>
  <c r="BA143"/>
  <c r="BP143"/>
  <c r="BO143"/>
  <c r="CD30"/>
  <c r="CD119"/>
  <c r="AR78"/>
  <c r="AR90"/>
  <c r="AR84"/>
  <c r="BP137"/>
  <c r="T34"/>
  <c r="AD10"/>
  <c r="AD12"/>
  <c r="T28"/>
  <c r="AC10"/>
  <c r="AC12"/>
  <c r="AR89"/>
  <c r="AR77"/>
  <c r="AR83"/>
  <c r="AR59"/>
  <c r="BA100"/>
  <c r="BO100"/>
  <c r="CD29"/>
  <c r="CD118"/>
  <c r="AR119"/>
  <c r="BA142"/>
  <c r="BO142"/>
  <c r="BP142"/>
  <c r="AR113"/>
  <c r="BA136"/>
  <c r="BP136"/>
  <c r="BO136"/>
  <c r="AR107"/>
  <c r="BA130"/>
  <c r="BP130"/>
  <c r="BO130"/>
  <c r="AR95"/>
  <c r="BA118"/>
  <c r="BO118"/>
  <c r="AR101"/>
  <c r="BA124"/>
  <c r="BO124"/>
  <c r="BP100"/>
  <c r="AR17"/>
  <c r="BA58"/>
  <c r="BP58"/>
  <c r="BP124"/>
  <c r="BP118"/>
  <c r="AR11"/>
  <c r="BA52"/>
  <c r="BA197"/>
  <c r="BO52"/>
  <c r="BO197"/>
  <c r="BP52"/>
  <c r="BP197"/>
  <c r="AR23"/>
  <c r="BA64"/>
  <c r="BO64"/>
  <c r="BO58"/>
  <c r="BP64"/>
  <c r="AR41"/>
  <c r="BA82"/>
  <c r="BO82"/>
  <c r="BP82"/>
  <c r="AR47"/>
  <c r="BA88"/>
  <c r="BO88"/>
  <c r="BP88"/>
  <c r="AR53"/>
  <c r="BA94"/>
  <c r="BO94"/>
  <c r="BP94"/>
  <c r="AR65"/>
  <c r="BA106"/>
  <c r="BA209"/>
  <c r="AR71"/>
  <c r="BA112"/>
  <c r="BA203"/>
  <c r="BP106"/>
  <c r="BP209"/>
  <c r="BP112"/>
  <c r="BP203"/>
  <c r="BO106"/>
  <c r="BO209"/>
  <c r="BO112"/>
  <c r="BO203"/>
  <c r="AR35"/>
  <c r="BA76"/>
  <c r="BO76"/>
  <c r="BP76"/>
  <c r="AR29"/>
  <c r="BA70"/>
  <c r="BP70"/>
  <c r="BO70"/>
  <c r="Z32"/>
  <c r="Z33"/>
  <c r="AA33"/>
  <c r="AA32"/>
  <c r="F170" i="8" a="1"/>
  <c r="F170"/>
  <c r="F14"/>
  <c r="F20"/>
  <c r="I7" i="1"/>
  <c r="I12"/>
  <c r="T12"/>
  <c r="AK23"/>
  <c r="K46"/>
  <c r="J56"/>
  <c r="Z23"/>
  <c r="BD43"/>
  <c r="BD188"/>
  <c r="AG40"/>
  <c r="AI40"/>
  <c r="AL43"/>
  <c r="AL44"/>
  <c r="I52"/>
  <c r="I50"/>
  <c r="T7"/>
  <c r="Z7"/>
  <c r="Z12"/>
  <c r="CD26"/>
  <c r="CD115"/>
  <c r="AU110"/>
  <c r="BT80"/>
  <c r="CF80"/>
  <c r="CG80"/>
  <c r="AU104"/>
  <c r="BT74"/>
  <c r="CF74"/>
  <c r="CG74"/>
  <c r="AR110"/>
  <c r="BA133"/>
  <c r="BP133"/>
  <c r="AR80"/>
  <c r="AR86"/>
  <c r="AR74"/>
  <c r="AR116"/>
  <c r="BA139"/>
  <c r="BO139"/>
  <c r="BP139"/>
  <c r="BO133"/>
  <c r="AR104"/>
  <c r="BA127"/>
  <c r="BO127"/>
  <c r="BP127"/>
  <c r="AR14"/>
  <c r="BA55"/>
  <c r="BO55"/>
  <c r="AU74"/>
  <c r="BT44"/>
  <c r="BT121"/>
  <c r="AU80"/>
  <c r="BT50"/>
  <c r="BT127"/>
  <c r="AU50"/>
  <c r="AU56"/>
  <c r="AU38"/>
  <c r="AU44"/>
  <c r="AU26"/>
  <c r="AU32"/>
  <c r="AU14"/>
  <c r="AU20"/>
  <c r="AU8"/>
  <c r="AR92"/>
  <c r="BA115"/>
  <c r="BP115"/>
  <c r="AU116"/>
  <c r="BT86"/>
  <c r="CF86"/>
  <c r="CG86"/>
  <c r="BP55"/>
  <c r="AR56"/>
  <c r="BA97"/>
  <c r="BP97"/>
  <c r="BO97"/>
  <c r="AU98"/>
  <c r="BT68"/>
  <c r="CF68"/>
  <c r="CG68"/>
  <c r="AU92"/>
  <c r="BT62"/>
  <c r="CF62"/>
  <c r="CG62"/>
  <c r="AU86"/>
  <c r="BT56"/>
  <c r="CF56"/>
  <c r="CG56"/>
  <c r="AU68"/>
  <c r="BT38"/>
  <c r="CG38"/>
  <c r="CF38"/>
  <c r="CF50"/>
  <c r="CF127"/>
  <c r="CG50"/>
  <c r="CG127"/>
  <c r="AU62"/>
  <c r="BT32"/>
  <c r="CF32"/>
  <c r="CF133"/>
  <c r="BT133"/>
  <c r="CG32"/>
  <c r="CG133"/>
  <c r="CF44"/>
  <c r="CF121"/>
  <c r="CG44"/>
  <c r="CG121"/>
  <c r="BO115"/>
  <c r="AR38"/>
  <c r="BA79"/>
  <c r="BP79"/>
  <c r="AR98"/>
  <c r="BA121"/>
  <c r="BO121"/>
  <c r="BP121"/>
  <c r="AR50"/>
  <c r="BA91"/>
  <c r="BP91"/>
  <c r="BO79"/>
  <c r="AR8"/>
  <c r="BA49"/>
  <c r="BA194"/>
  <c r="BP49"/>
  <c r="BP194"/>
  <c r="BO49"/>
  <c r="BO194"/>
  <c r="BO91"/>
  <c r="AR20"/>
  <c r="BA61"/>
  <c r="BO61"/>
  <c r="BP61"/>
  <c r="AR62"/>
  <c r="BA103"/>
  <c r="BA206"/>
  <c r="BP103"/>
  <c r="BP206"/>
  <c r="BO103"/>
  <c r="BO206"/>
  <c r="AR32"/>
  <c r="BA73"/>
  <c r="BP73"/>
  <c r="BO73"/>
  <c r="AR26"/>
  <c r="BA67"/>
  <c r="BO67"/>
  <c r="BP67"/>
  <c r="AR44"/>
  <c r="BA85"/>
  <c r="BO85"/>
  <c r="BP85"/>
  <c r="AR68"/>
  <c r="BA109"/>
  <c r="BA200"/>
  <c r="BO109"/>
  <c r="BO200"/>
  <c r="BP109"/>
  <c r="BP200"/>
  <c r="AA30"/>
  <c r="I46"/>
  <c r="AL41"/>
  <c r="Z30"/>
  <c r="N20" i="8"/>
  <c r="AA58" i="1"/>
  <c r="N14" i="8"/>
  <c r="K52" i="1"/>
  <c r="J59"/>
  <c r="K50"/>
  <c r="J58"/>
  <c r="R51" i="8" a="1"/>
  <c r="R51"/>
  <c r="R10"/>
  <c r="R89" a="1"/>
  <c r="R89"/>
  <c r="R16"/>
  <c r="R22"/>
  <c r="J20" i="1"/>
  <c r="J24"/>
  <c r="T51" i="8" a="1"/>
  <c r="T51"/>
  <c r="T10"/>
  <c r="T89" a="1"/>
  <c r="T89"/>
  <c r="T16"/>
  <c r="T22"/>
  <c r="L20" i="1"/>
  <c r="L24"/>
  <c r="U51" i="8" a="1"/>
  <c r="U51"/>
  <c r="U10"/>
  <c r="U89" a="1"/>
  <c r="U89"/>
  <c r="U16"/>
  <c r="U22"/>
  <c r="M20" i="1"/>
  <c r="M24"/>
  <c r="V51" i="8" a="1"/>
  <c r="V51"/>
  <c r="V10"/>
  <c r="V89" a="1"/>
  <c r="V89"/>
  <c r="V16"/>
  <c r="V22"/>
  <c r="N20" i="1"/>
  <c r="N24"/>
  <c r="W51" i="8" a="1"/>
  <c r="W51"/>
  <c r="W10"/>
  <c r="W89" a="1"/>
  <c r="W89"/>
  <c r="W16"/>
  <c r="W22"/>
  <c r="O20" i="1"/>
  <c r="O24"/>
  <c r="X51" i="8" a="1"/>
  <c r="X51"/>
  <c r="X10"/>
  <c r="X89" a="1"/>
  <c r="X89"/>
  <c r="X16"/>
  <c r="X22"/>
  <c r="P20" i="1"/>
  <c r="P24"/>
  <c r="T24"/>
  <c r="AK25"/>
  <c r="K48"/>
  <c r="J57"/>
  <c r="AG42"/>
  <c r="AI42"/>
  <c r="AL42"/>
  <c r="I47"/>
  <c r="I48"/>
  <c r="Z31"/>
  <c r="AA25"/>
  <c r="AC25"/>
  <c r="AD25"/>
  <c r="AE25"/>
  <c r="AF25"/>
  <c r="AG25"/>
  <c r="AA31"/>
  <c r="AU106"/>
  <c r="BT76"/>
  <c r="CF76"/>
  <c r="CG76"/>
  <c r="AU112"/>
  <c r="BT82"/>
  <c r="CG82"/>
  <c r="CF82"/>
  <c r="AU118"/>
  <c r="BT88"/>
  <c r="CF88"/>
  <c r="CG88"/>
  <c r="AU76"/>
  <c r="BT46"/>
  <c r="BT123"/>
  <c r="AU82"/>
  <c r="BT52"/>
  <c r="BT129"/>
  <c r="AU52"/>
  <c r="AU58"/>
  <c r="AU40"/>
  <c r="AU46"/>
  <c r="AU28"/>
  <c r="AU34"/>
  <c r="AU16"/>
  <c r="AU22"/>
  <c r="AU10"/>
  <c r="AU100"/>
  <c r="BT70"/>
  <c r="CF70"/>
  <c r="CG70"/>
  <c r="AU94"/>
  <c r="BT64"/>
  <c r="CF64"/>
  <c r="CG64"/>
  <c r="AU88"/>
  <c r="BT58"/>
  <c r="CF58"/>
  <c r="CG58"/>
  <c r="AU64"/>
  <c r="BT34"/>
  <c r="CF34"/>
  <c r="CF135"/>
  <c r="BT135"/>
  <c r="CG34"/>
  <c r="CG135"/>
  <c r="CF46"/>
  <c r="CF123"/>
  <c r="CG46"/>
  <c r="CG123"/>
  <c r="AU70"/>
  <c r="BT40"/>
  <c r="CG40"/>
  <c r="CF40"/>
  <c r="CF52"/>
  <c r="CF129"/>
  <c r="CG52"/>
  <c r="CG129"/>
  <c r="T20"/>
  <c r="AB8"/>
  <c r="AB12"/>
  <c r="AR112"/>
  <c r="BA135"/>
  <c r="BP135"/>
  <c r="AR82"/>
  <c r="AR88"/>
  <c r="AR76"/>
  <c r="CD28"/>
  <c r="CD117"/>
  <c r="AR118"/>
  <c r="BA141"/>
  <c r="BO141"/>
  <c r="BP141"/>
  <c r="BO135"/>
  <c r="AR106"/>
  <c r="BA129"/>
  <c r="BO129"/>
  <c r="BP129"/>
  <c r="AR58"/>
  <c r="BA99"/>
  <c r="BP99"/>
  <c r="AR100"/>
  <c r="BA123"/>
  <c r="BP123"/>
  <c r="BO99"/>
  <c r="AR94"/>
  <c r="BA117"/>
  <c r="BP117"/>
  <c r="AR10"/>
  <c r="BA51"/>
  <c r="BA196"/>
  <c r="BO123"/>
  <c r="AR16"/>
  <c r="BA57"/>
  <c r="BP57"/>
  <c r="BO117"/>
  <c r="AR22"/>
  <c r="BA63"/>
  <c r="BP63"/>
  <c r="BP51"/>
  <c r="BP196"/>
  <c r="BO51"/>
  <c r="BO196"/>
  <c r="BO57"/>
  <c r="BO63"/>
  <c r="AR40"/>
  <c r="BA81"/>
  <c r="BO81"/>
  <c r="BP81"/>
  <c r="AR46"/>
  <c r="BA87"/>
  <c r="BP87"/>
  <c r="AR52"/>
  <c r="BA93"/>
  <c r="BO93"/>
  <c r="BP93"/>
  <c r="BO87"/>
  <c r="AR64"/>
  <c r="BA105"/>
  <c r="BA208"/>
  <c r="AR70"/>
  <c r="BA111"/>
  <c r="BA202"/>
  <c r="BP105"/>
  <c r="BP208"/>
  <c r="BO105"/>
  <c r="BO208"/>
  <c r="AR34"/>
  <c r="BA75"/>
  <c r="BO75"/>
  <c r="BP75"/>
  <c r="AR28"/>
  <c r="BA69"/>
  <c r="BP69"/>
  <c r="BO69"/>
  <c r="BP111"/>
  <c r="BP202"/>
  <c r="BO111"/>
  <c r="BO202"/>
  <c r="AE65"/>
  <c r="AB65"/>
  <c r="AF65"/>
  <c r="AH65"/>
  <c r="AD65"/>
  <c r="AG65"/>
  <c r="BI45"/>
  <c r="BI190"/>
  <c r="BH45"/>
  <c r="BH190"/>
  <c r="BJ45"/>
  <c r="BJ190"/>
  <c r="BG45"/>
  <c r="BG190"/>
  <c r="BK45"/>
  <c r="BK190"/>
  <c r="BE45"/>
  <c r="BE190"/>
  <c r="Y10" i="8"/>
  <c r="Y16"/>
  <c r="Y22"/>
</calcChain>
</file>

<file path=xl/comments1.xml><?xml version="1.0" encoding="utf-8"?>
<comments xmlns="http://schemas.openxmlformats.org/spreadsheetml/2006/main">
  <authors>
    <author>Administratr</author>
    <author>J</author>
  </authors>
  <commentList>
    <comment ref="A16" authorId="0">
      <text>
        <r>
          <rPr>
            <b/>
            <sz val="8"/>
            <color indexed="81"/>
            <rFont val="Tahoma"/>
            <family val="2"/>
          </rPr>
          <t>Administratr:</t>
        </r>
        <r>
          <rPr>
            <sz val="8"/>
            <color indexed="81"/>
            <rFont val="Tahoma"/>
            <family val="2"/>
          </rPr>
          <t xml:space="preserve">
Only GREET data has complete information
</t>
        </r>
      </text>
    </comment>
    <comment ref="A40" authorId="1">
      <text>
        <r>
          <rPr>
            <b/>
            <sz val="9"/>
            <color indexed="81"/>
            <rFont val="Tahoma"/>
            <family val="2"/>
          </rPr>
          <t>J:</t>
        </r>
        <r>
          <rPr>
            <sz val="9"/>
            <color indexed="81"/>
            <rFont val="Tahoma"/>
            <family val="2"/>
          </rPr>
          <t xml:space="preserve">
Rate at which Pigovian style externality fees, charged at the point of purchase of externality-producing goods, is discounted by the consumer.</t>
        </r>
      </text>
    </comment>
  </commentList>
</comments>
</file>

<file path=xl/comments2.xml><?xml version="1.0" encoding="utf-8"?>
<comments xmlns="http://schemas.openxmlformats.org/spreadsheetml/2006/main">
  <authors>
    <author>drj</author>
    <author>J</author>
    <author>NS</author>
    <author>Administratr</author>
  </authors>
  <commentList>
    <comment ref="F14" authorId="0">
      <text>
        <r>
          <rPr>
            <b/>
            <sz val="9"/>
            <color indexed="81"/>
            <rFont val="Tahoma"/>
            <family val="2"/>
          </rPr>
          <t>drj:</t>
        </r>
        <r>
          <rPr>
            <sz val="9"/>
            <color indexed="81"/>
            <rFont val="Tahoma"/>
            <family val="2"/>
          </rPr>
          <t xml:space="preserve">
CO numbers are taken as the average estimate from Matthews and Lave 2000 and scaled proportionately to Nox to obtain high and low estimates.</t>
        </r>
      </text>
    </comment>
    <comment ref="A20" authorId="1">
      <text>
        <r>
          <rPr>
            <b/>
            <sz val="9"/>
            <color indexed="81"/>
            <rFont val="Tahoma"/>
            <family val="2"/>
          </rPr>
          <t>J:</t>
        </r>
        <r>
          <rPr>
            <sz val="9"/>
            <color indexed="81"/>
            <rFont val="Tahoma"/>
            <family val="2"/>
          </rPr>
          <t xml:space="preserve">
Delucchi report on annualized social costs of motor vehicles, 1991 data Table 1-A1</t>
        </r>
      </text>
    </comment>
    <comment ref="M38" authorId="2">
      <text>
        <r>
          <rPr>
            <b/>
            <sz val="9"/>
            <color indexed="81"/>
            <rFont val="Tahoma"/>
            <family val="2"/>
          </rPr>
          <t>NS:</t>
        </r>
        <r>
          <rPr>
            <sz val="9"/>
            <color indexed="81"/>
            <rFont val="Tahoma"/>
            <family val="2"/>
          </rPr>
          <t xml:space="preserve">
CV 9.2 lb per year</t>
        </r>
      </text>
    </comment>
    <comment ref="P38" authorId="2">
      <text>
        <r>
          <rPr>
            <b/>
            <sz val="9"/>
            <color indexed="81"/>
            <rFont val="Tahoma"/>
            <family val="2"/>
          </rPr>
          <t>NS:</t>
        </r>
        <r>
          <rPr>
            <sz val="9"/>
            <color indexed="81"/>
            <rFont val="Tahoma"/>
            <family val="2"/>
          </rPr>
          <t xml:space="preserve">
0.2 lb per year</t>
        </r>
      </text>
    </comment>
    <comment ref="R38" authorId="1">
      <text>
        <r>
          <rPr>
            <b/>
            <sz val="9"/>
            <color indexed="81"/>
            <rFont val="Tahoma"/>
            <family val="2"/>
          </rPr>
          <t xml:space="preserve">J:
</t>
        </r>
        <r>
          <rPr>
            <sz val="9"/>
            <color indexed="81"/>
            <rFont val="Tahoma"/>
            <family val="2"/>
          </rPr>
          <t>Emissions data only inlcuded nitrogen oxides (NOx), sulfur dioxide (SO2),  and carbon dioxide (CO2).</t>
        </r>
      </text>
    </comment>
    <comment ref="Q39" authorId="1">
      <text>
        <r>
          <rPr>
            <b/>
            <sz val="9"/>
            <color indexed="81"/>
            <rFont val="Tahoma"/>
            <family val="2"/>
          </rPr>
          <t>J:</t>
        </r>
        <r>
          <rPr>
            <sz val="9"/>
            <color indexed="81"/>
            <rFont val="Tahoma"/>
            <family val="2"/>
          </rPr>
          <t xml:space="preserve">
Only TOC listed, not VOC. Need to investigate</t>
        </r>
      </text>
    </comment>
    <comment ref="R39" authorId="1">
      <text>
        <r>
          <rPr>
            <b/>
            <sz val="9"/>
            <color indexed="81"/>
            <rFont val="Tahoma"/>
            <family val="2"/>
          </rPr>
          <t>J:</t>
        </r>
        <r>
          <rPr>
            <sz val="9"/>
            <color indexed="81"/>
            <rFont val="Tahoma"/>
            <family val="2"/>
          </rPr>
          <t xml:space="preserve">
Tailpipe emissions based on Table 2-9</t>
        </r>
      </text>
    </comment>
    <comment ref="R40" authorId="1">
      <text>
        <r>
          <rPr>
            <b/>
            <sz val="9"/>
            <color indexed="81"/>
            <rFont val="Tahoma"/>
            <family val="2"/>
          </rPr>
          <t>J:</t>
        </r>
        <r>
          <rPr>
            <sz val="9"/>
            <color indexed="81"/>
            <rFont val="Tahoma"/>
            <family val="2"/>
          </rPr>
          <t xml:space="preserve">
Based on spreadsheet from Mike Chester used for NAS valuation report.</t>
        </r>
      </text>
    </comment>
    <comment ref="K58" authorId="3">
      <text>
        <r>
          <rPr>
            <b/>
            <sz val="10"/>
            <color indexed="81"/>
            <rFont val="Tahoma"/>
            <family val="2"/>
          </rPr>
          <t>Administratr:</t>
        </r>
        <r>
          <rPr>
            <sz val="10"/>
            <color indexed="81"/>
            <rFont val="Tahoma"/>
            <family val="2"/>
          </rPr>
          <t xml:space="preserve">
No information on HEV available. Assumed equal to PHEV for placeholder</t>
        </r>
      </text>
    </comment>
    <comment ref="M65" authorId="2">
      <text>
        <r>
          <rPr>
            <b/>
            <sz val="9"/>
            <color indexed="81"/>
            <rFont val="Tahoma"/>
            <family val="2"/>
          </rPr>
          <t>NS:</t>
        </r>
        <r>
          <rPr>
            <sz val="9"/>
            <color indexed="81"/>
            <rFont val="Tahoma"/>
            <family val="2"/>
          </rPr>
          <t xml:space="preserve">
HEV 2.2 lb per year</t>
        </r>
      </text>
    </comment>
    <comment ref="P65" authorId="2">
      <text>
        <r>
          <rPr>
            <b/>
            <sz val="9"/>
            <color indexed="81"/>
            <rFont val="Tahoma"/>
            <family val="2"/>
          </rPr>
          <t>NS:</t>
        </r>
        <r>
          <rPr>
            <sz val="9"/>
            <color indexed="81"/>
            <rFont val="Tahoma"/>
            <family val="2"/>
          </rPr>
          <t xml:space="preserve">
0.1 lb per year</t>
        </r>
      </text>
    </comment>
    <comment ref="K69" authorId="0">
      <text>
        <r>
          <rPr>
            <b/>
            <sz val="9"/>
            <color indexed="81"/>
            <rFont val="Tahoma"/>
            <family val="2"/>
          </rPr>
          <t>drj:</t>
        </r>
        <r>
          <rPr>
            <sz val="9"/>
            <color indexed="81"/>
            <rFont val="Tahoma"/>
            <family val="2"/>
          </rPr>
          <t xml:space="preserve">
Criteria emissions corrected on 1/16/2011</t>
        </r>
      </text>
    </comment>
    <comment ref="A78" authorId="1">
      <text>
        <r>
          <rPr>
            <b/>
            <sz val="9"/>
            <color indexed="81"/>
            <rFont val="Tahoma"/>
            <family val="2"/>
          </rPr>
          <t>J:</t>
        </r>
        <r>
          <rPr>
            <sz val="9"/>
            <color indexed="81"/>
            <rFont val="Tahoma"/>
            <family val="2"/>
          </rPr>
          <t xml:space="preserve">
Tailpipe emissions based on Table 2-9</t>
        </r>
      </text>
    </comment>
    <comment ref="G78" authorId="1">
      <text>
        <r>
          <rPr>
            <b/>
            <sz val="9"/>
            <color indexed="81"/>
            <rFont val="Tahoma"/>
            <family val="2"/>
          </rPr>
          <t>J:</t>
        </r>
        <r>
          <rPr>
            <sz val="9"/>
            <color indexed="81"/>
            <rFont val="Tahoma"/>
            <family val="2"/>
          </rPr>
          <t xml:space="preserve">
Not clear in EPRI report which PHEV this number is for. Need to verify for all PHEV emissions in NRDC column</t>
        </r>
      </text>
    </comment>
    <comment ref="K78" authorId="0">
      <text>
        <r>
          <rPr>
            <b/>
            <sz val="9"/>
            <color indexed="81"/>
            <rFont val="Tahoma"/>
            <family val="2"/>
          </rPr>
          <t>drj:</t>
        </r>
        <r>
          <rPr>
            <sz val="9"/>
            <color indexed="81"/>
            <rFont val="Tahoma"/>
            <family val="2"/>
          </rPr>
          <t xml:space="preserve">
Information only on one PHEV - AER not clear.</t>
        </r>
      </text>
    </comment>
    <comment ref="M85" authorId="2">
      <text>
        <r>
          <rPr>
            <b/>
            <sz val="9"/>
            <color indexed="81"/>
            <rFont val="Tahoma"/>
            <family val="2"/>
          </rPr>
          <t>NS:</t>
        </r>
        <r>
          <rPr>
            <sz val="9"/>
            <color indexed="81"/>
            <rFont val="Tahoma"/>
            <family val="2"/>
          </rPr>
          <t xml:space="preserve">
PHEV20 1.2 lb per year</t>
        </r>
      </text>
    </comment>
    <comment ref="P85" authorId="2">
      <text>
        <r>
          <rPr>
            <b/>
            <sz val="9"/>
            <color indexed="81"/>
            <rFont val="Tahoma"/>
            <family val="2"/>
          </rPr>
          <t>NS:</t>
        </r>
        <r>
          <rPr>
            <sz val="9"/>
            <color indexed="81"/>
            <rFont val="Tahoma"/>
            <family val="2"/>
          </rPr>
          <t xml:space="preserve">
0.05 lb per year</t>
        </r>
      </text>
    </comment>
    <comment ref="A98" authorId="1">
      <text>
        <r>
          <rPr>
            <b/>
            <sz val="9"/>
            <color indexed="81"/>
            <rFont val="Tahoma"/>
            <family val="2"/>
          </rPr>
          <t>J:</t>
        </r>
        <r>
          <rPr>
            <sz val="9"/>
            <color indexed="81"/>
            <rFont val="Tahoma"/>
            <family val="2"/>
          </rPr>
          <t xml:space="preserve">
Tailpipe emissions based on Table 2-9</t>
        </r>
      </text>
    </comment>
    <comment ref="G98" authorId="1">
      <text>
        <r>
          <rPr>
            <b/>
            <sz val="9"/>
            <color indexed="81"/>
            <rFont val="Tahoma"/>
            <family val="2"/>
          </rPr>
          <t>J:</t>
        </r>
        <r>
          <rPr>
            <sz val="9"/>
            <color indexed="81"/>
            <rFont val="Tahoma"/>
            <family val="2"/>
          </rPr>
          <t xml:space="preserve">
Not clear in EPRI report which PHEV this number is for. Need to verify for all PHEV emissions in NRDC column</t>
        </r>
      </text>
    </comment>
    <comment ref="K98" authorId="3">
      <text>
        <r>
          <rPr>
            <b/>
            <sz val="8"/>
            <color indexed="81"/>
            <rFont val="Tahoma"/>
            <family val="2"/>
          </rPr>
          <t>Administratr:</t>
        </r>
        <r>
          <rPr>
            <sz val="8"/>
            <color indexed="81"/>
            <rFont val="Tahoma"/>
            <family val="2"/>
          </rPr>
          <t xml:space="preserve">
Only one PHEV model available - not clear what AER</t>
        </r>
      </text>
    </comment>
    <comment ref="A117" authorId="1">
      <text>
        <r>
          <rPr>
            <b/>
            <sz val="9"/>
            <color indexed="81"/>
            <rFont val="Tahoma"/>
            <family val="2"/>
          </rPr>
          <t>J:</t>
        </r>
        <r>
          <rPr>
            <sz val="9"/>
            <color indexed="81"/>
            <rFont val="Tahoma"/>
            <family val="2"/>
          </rPr>
          <t xml:space="preserve">
Tailpipe emissions based on Table 2-9</t>
        </r>
      </text>
    </comment>
  </commentList>
</comments>
</file>

<file path=xl/comments3.xml><?xml version="1.0" encoding="utf-8"?>
<comments xmlns="http://schemas.openxmlformats.org/spreadsheetml/2006/main">
  <authors>
    <author>J</author>
  </authors>
  <commentList>
    <comment ref="D14" authorId="0">
      <text>
        <r>
          <rPr>
            <b/>
            <sz val="9"/>
            <color indexed="81"/>
            <rFont val="Tahoma"/>
            <family val="2"/>
          </rPr>
          <t>J:</t>
        </r>
        <r>
          <rPr>
            <sz val="9"/>
            <color indexed="81"/>
            <rFont val="Tahoma"/>
            <family val="2"/>
          </rPr>
          <t xml:space="preserve">
Base Case</t>
        </r>
      </text>
    </comment>
    <comment ref="D21" authorId="0">
      <text>
        <r>
          <rPr>
            <b/>
            <sz val="9"/>
            <color indexed="81"/>
            <rFont val="Tahoma"/>
            <family val="2"/>
          </rPr>
          <t>J:</t>
        </r>
        <r>
          <rPr>
            <sz val="9"/>
            <color indexed="81"/>
            <rFont val="Tahoma"/>
            <family val="2"/>
          </rPr>
          <t xml:space="preserve">
Base Case</t>
        </r>
      </text>
    </comment>
    <comment ref="A56" authorId="0">
      <text>
        <r>
          <rPr>
            <b/>
            <sz val="9"/>
            <color indexed="81"/>
            <rFont val="Tahoma"/>
            <family val="2"/>
          </rPr>
          <t>J:</t>
        </r>
        <r>
          <rPr>
            <sz val="9"/>
            <color indexed="81"/>
            <rFont val="Tahoma"/>
            <family val="2"/>
          </rPr>
          <t xml:space="preserve">
Base case</t>
        </r>
      </text>
    </comment>
    <comment ref="A159" authorId="0">
      <text>
        <r>
          <rPr>
            <b/>
            <sz val="9"/>
            <color indexed="81"/>
            <rFont val="Tahoma"/>
            <family val="2"/>
          </rPr>
          <t>J:</t>
        </r>
        <r>
          <rPr>
            <sz val="9"/>
            <color indexed="81"/>
            <rFont val="Tahoma"/>
            <family val="2"/>
          </rPr>
          <t xml:space="preserve">
Base case</t>
        </r>
      </text>
    </comment>
  </commentList>
</comments>
</file>

<file path=xl/comments4.xml><?xml version="1.0" encoding="utf-8"?>
<comments xmlns="http://schemas.openxmlformats.org/spreadsheetml/2006/main">
  <authors>
    <author>J</author>
  </authors>
  <commentList>
    <comment ref="O8" authorId="0">
      <text>
        <r>
          <rPr>
            <b/>
            <sz val="9"/>
            <color indexed="81"/>
            <rFont val="Tahoma"/>
            <family val="2"/>
          </rPr>
          <t>J:</t>
        </r>
        <r>
          <rPr>
            <sz val="9"/>
            <color indexed="81"/>
            <rFont val="Tahoma"/>
            <family val="2"/>
          </rPr>
          <t xml:space="preserve">
GREET numbers are for 3 Pb-acid batteries over the life.</t>
        </r>
      </text>
    </comment>
    <comment ref="O9" authorId="0">
      <text>
        <r>
          <rPr>
            <b/>
            <sz val="9"/>
            <color indexed="81"/>
            <rFont val="Tahoma"/>
            <family val="2"/>
          </rPr>
          <t>J:</t>
        </r>
        <r>
          <rPr>
            <sz val="9"/>
            <color indexed="81"/>
            <rFont val="Tahoma"/>
            <family val="2"/>
          </rPr>
          <t xml:space="preserve">
GREET numbers are for 2 NiMH batteries over the life</t>
        </r>
      </text>
    </comment>
    <comment ref="O10" authorId="0">
      <text>
        <r>
          <rPr>
            <b/>
            <sz val="9"/>
            <color indexed="81"/>
            <rFont val="Tahoma"/>
            <family val="2"/>
          </rPr>
          <t>J:</t>
        </r>
        <r>
          <rPr>
            <sz val="9"/>
            <color indexed="81"/>
            <rFont val="Tahoma"/>
            <family val="2"/>
          </rPr>
          <t xml:space="preserve">
GREET numbers are for 1 Li-ion battery over the life</t>
        </r>
      </text>
    </comment>
    <comment ref="O36" authorId="0">
      <text>
        <r>
          <rPr>
            <b/>
            <sz val="9"/>
            <color indexed="81"/>
            <rFont val="Tahoma"/>
            <family val="2"/>
          </rPr>
          <t>J:</t>
        </r>
        <r>
          <rPr>
            <sz val="9"/>
            <color indexed="81"/>
            <rFont val="Tahoma"/>
            <family val="2"/>
          </rPr>
          <t xml:space="preserve">
Assumed HEV uses NiMH batteries for study, but calculated Li-ion case as a reference for scaling up to plug-in vehicles.</t>
        </r>
      </text>
    </comment>
    <comment ref="C48" authorId="0">
      <text>
        <r>
          <rPr>
            <b/>
            <sz val="9"/>
            <color indexed="81"/>
            <rFont val="Tahoma"/>
            <family val="2"/>
          </rPr>
          <t>J:</t>
        </r>
        <r>
          <rPr>
            <sz val="9"/>
            <color indexed="81"/>
            <rFont val="Tahoma"/>
            <family val="2"/>
          </rPr>
          <t xml:space="preserve">
Assumed all plug-in vehicles equivalent to HEV except for additional battery production</t>
        </r>
      </text>
    </comment>
    <comment ref="O74" authorId="0">
      <text>
        <r>
          <rPr>
            <b/>
            <sz val="9"/>
            <color indexed="81"/>
            <rFont val="Tahoma"/>
            <family val="2"/>
          </rPr>
          <t>J:</t>
        </r>
        <r>
          <rPr>
            <sz val="9"/>
            <color indexed="81"/>
            <rFont val="Tahoma"/>
            <family val="2"/>
          </rPr>
          <t xml:space="preserve">
Assumed HEV uses NiMH batteries for study, but calculated Li-ion case as a reference for scaling up to plug-in vehicles.</t>
        </r>
      </text>
    </comment>
    <comment ref="C86" authorId="0">
      <text>
        <r>
          <rPr>
            <b/>
            <sz val="9"/>
            <color indexed="81"/>
            <rFont val="Tahoma"/>
            <family val="2"/>
          </rPr>
          <t>J:</t>
        </r>
        <r>
          <rPr>
            <sz val="9"/>
            <color indexed="81"/>
            <rFont val="Tahoma"/>
            <family val="2"/>
          </rPr>
          <t xml:space="preserve">
Assumed all plug-in vehicles equivalent to HEV except for additional battery production</t>
        </r>
      </text>
    </comment>
  </commentList>
</comments>
</file>

<file path=xl/comments5.xml><?xml version="1.0" encoding="utf-8"?>
<comments xmlns="http://schemas.openxmlformats.org/spreadsheetml/2006/main">
  <authors>
    <author>J</author>
  </authors>
  <commentList>
    <comment ref="A2" authorId="0">
      <text>
        <r>
          <rPr>
            <b/>
            <sz val="9"/>
            <color indexed="81"/>
            <rFont val="Tahoma"/>
            <family val="2"/>
          </rPr>
          <t>J:</t>
        </r>
        <r>
          <rPr>
            <sz val="9"/>
            <color indexed="81"/>
            <rFont val="Tahoma"/>
            <family val="2"/>
          </rPr>
          <t xml:space="preserve">
Numbers interpolated from ANL numbers.</t>
        </r>
      </text>
    </comment>
    <comment ref="A23" authorId="0">
      <text>
        <r>
          <rPr>
            <b/>
            <sz val="9"/>
            <color indexed="81"/>
            <rFont val="Tahoma"/>
            <family val="2"/>
          </rPr>
          <t>J:</t>
        </r>
        <r>
          <rPr>
            <sz val="9"/>
            <color indexed="81"/>
            <rFont val="Tahoma"/>
            <family val="2"/>
          </rPr>
          <t xml:space="preserve">
Numbers interpolated from ANL numbers.</t>
        </r>
      </text>
    </comment>
  </commentList>
</comments>
</file>

<file path=xl/comments6.xml><?xml version="1.0" encoding="utf-8"?>
<comments xmlns="http://schemas.openxmlformats.org/spreadsheetml/2006/main">
  <authors>
    <author>J</author>
  </authors>
  <commentList>
    <comment ref="I4" authorId="0">
      <text>
        <r>
          <rPr>
            <b/>
            <sz val="9"/>
            <color indexed="81"/>
            <rFont val="Tahoma"/>
            <family val="2"/>
          </rPr>
          <t>J:</t>
        </r>
        <r>
          <rPr>
            <sz val="9"/>
            <color indexed="81"/>
            <rFont val="Tahoma"/>
            <family val="2"/>
          </rPr>
          <t xml:space="preserve">
Includes a factor that accounts for lower range in real-world driving. This is why CD-mode is less than AER for PHEV60</t>
        </r>
      </text>
    </comment>
    <comment ref="A6" authorId="0">
      <text>
        <r>
          <rPr>
            <b/>
            <sz val="9"/>
            <color indexed="81"/>
            <rFont val="Tahoma"/>
            <family val="2"/>
          </rPr>
          <t>J:</t>
        </r>
        <r>
          <rPr>
            <sz val="9"/>
            <color indexed="81"/>
            <rFont val="Tahoma"/>
            <family val="2"/>
          </rPr>
          <t xml:space="preserve">
Based on NHTS data with all data points above the truncation point removed.</t>
        </r>
      </text>
    </comment>
  </commentList>
</comments>
</file>

<file path=xl/comments7.xml><?xml version="1.0" encoding="utf-8"?>
<comments xmlns="http://schemas.openxmlformats.org/spreadsheetml/2006/main">
  <authors>
    <author>drj</author>
    <author>J</author>
  </authors>
  <commentList>
    <comment ref="D5" authorId="0">
      <text>
        <r>
          <rPr>
            <b/>
            <sz val="9"/>
            <color indexed="81"/>
            <rFont val="Tahoma"/>
            <family val="2"/>
          </rPr>
          <t>drj:</t>
        </r>
        <r>
          <rPr>
            <sz val="9"/>
            <color indexed="81"/>
            <rFont val="Tahoma"/>
            <family val="2"/>
          </rPr>
          <t xml:space="preserve">
Ignored</t>
        </r>
      </text>
    </comment>
    <comment ref="A14" authorId="1">
      <text>
        <r>
          <rPr>
            <b/>
            <sz val="9"/>
            <color indexed="81"/>
            <rFont val="Tahoma"/>
            <family val="2"/>
          </rPr>
          <t xml:space="preserve">J:
</t>
        </r>
        <r>
          <rPr>
            <sz val="9"/>
            <color indexed="81"/>
            <rFont val="Tahoma"/>
            <family val="2"/>
          </rPr>
          <t>ANL09 numbers are complete. Other numbers are from review by Cheah and Heywood (2010), where the base year is not clear.</t>
        </r>
      </text>
    </comment>
    <comment ref="E15" authorId="0">
      <text>
        <r>
          <rPr>
            <b/>
            <sz val="9"/>
            <color indexed="81"/>
            <rFont val="Tahoma"/>
            <family val="2"/>
          </rPr>
          <t>drj:</t>
        </r>
        <r>
          <rPr>
            <sz val="9"/>
            <color indexed="81"/>
            <rFont val="Tahoma"/>
            <family val="2"/>
          </rPr>
          <t xml:space="preserve">
Costs from PHEV10mi.</t>
        </r>
      </text>
    </comment>
    <comment ref="F15" authorId="0">
      <text>
        <r>
          <rPr>
            <b/>
            <sz val="9"/>
            <color indexed="81"/>
            <rFont val="Tahoma"/>
            <family val="2"/>
          </rPr>
          <t>drj:</t>
        </r>
        <r>
          <rPr>
            <sz val="9"/>
            <color indexed="81"/>
            <rFont val="Tahoma"/>
            <family val="2"/>
          </rPr>
          <t xml:space="preserve">
Costs from PHEV40mi</t>
        </r>
      </text>
    </comment>
    <comment ref="A16" authorId="0">
      <text>
        <r>
          <rPr>
            <b/>
            <sz val="9"/>
            <color indexed="81"/>
            <rFont val="Tahoma"/>
            <family val="2"/>
          </rPr>
          <t>drj:</t>
        </r>
        <r>
          <rPr>
            <sz val="9"/>
            <color indexed="81"/>
            <rFont val="Tahoma"/>
            <family val="2"/>
          </rPr>
          <t xml:space="preserve">
LR is literature review</t>
        </r>
      </text>
    </comment>
    <comment ref="A17" authorId="0">
      <text>
        <r>
          <rPr>
            <b/>
            <sz val="9"/>
            <color indexed="81"/>
            <rFont val="Tahoma"/>
            <family val="2"/>
          </rPr>
          <t>drj:</t>
        </r>
        <r>
          <rPr>
            <sz val="9"/>
            <color indexed="81"/>
            <rFont val="Tahoma"/>
            <family val="2"/>
          </rPr>
          <t xml:space="preserve">
PG is program goals</t>
        </r>
      </text>
    </comment>
    <comment ref="F26" authorId="1">
      <text>
        <r>
          <rPr>
            <b/>
            <sz val="9"/>
            <color indexed="81"/>
            <rFont val="Tahoma"/>
            <family val="2"/>
          </rPr>
          <t>J:</t>
        </r>
        <r>
          <rPr>
            <sz val="9"/>
            <color indexed="81"/>
            <rFont val="Tahoma"/>
            <family val="2"/>
          </rPr>
          <t xml:space="preserve">
For PHEV30 (miles)</t>
        </r>
      </text>
    </comment>
  </commentList>
</comments>
</file>

<file path=xl/comments8.xml><?xml version="1.0" encoding="utf-8"?>
<comments xmlns="http://schemas.openxmlformats.org/spreadsheetml/2006/main">
  <authors>
    <author>J</author>
    <author>Costa Samaras</author>
  </authors>
  <commentList>
    <comment ref="H2" authorId="0">
      <text>
        <r>
          <rPr>
            <b/>
            <sz val="9"/>
            <color indexed="81"/>
            <rFont val="Tahoma"/>
            <family val="2"/>
          </rPr>
          <t>J:</t>
        </r>
        <r>
          <rPr>
            <sz val="9"/>
            <color indexed="81"/>
            <rFont val="Tahoma"/>
            <family val="2"/>
          </rPr>
          <t xml:space="preserve">
Assuming here that monopsony premium applies to all petroleum but disruption/adjustment is specific to imported (assumes zero for domestic, which is likely wrong).</t>
        </r>
      </text>
    </comment>
    <comment ref="G10" authorId="1">
      <text>
        <r>
          <rPr>
            <b/>
            <sz val="9"/>
            <color indexed="81"/>
            <rFont val="Calibri"/>
            <family val="2"/>
          </rPr>
          <t>Costa Samaras:</t>
        </r>
        <r>
          <rPr>
            <sz val="9"/>
            <color indexed="81"/>
            <rFont val="Calibri"/>
            <family val="2"/>
          </rPr>
          <t xml:space="preserve">
This is the externality cost plus the monopsony premium, which is debateable if an externality, and is the first iteration away from the base case</t>
        </r>
      </text>
    </comment>
    <comment ref="B11" authorId="1">
      <text>
        <r>
          <rPr>
            <b/>
            <sz val="9"/>
            <color indexed="81"/>
            <rFont val="Calibri"/>
            <family val="2"/>
          </rPr>
          <t>Costa Samaras:</t>
        </r>
        <r>
          <rPr>
            <sz val="9"/>
            <color indexed="81"/>
            <rFont val="Calibri"/>
            <family val="2"/>
          </rPr>
          <t xml:space="preserve">
Note Leiby reports this sum as $6.71</t>
        </r>
      </text>
    </comment>
    <comment ref="G22" authorId="1">
      <text>
        <r>
          <rPr>
            <b/>
            <sz val="9"/>
            <color indexed="81"/>
            <rFont val="Calibri"/>
            <family val="2"/>
          </rPr>
          <t>Costa Samaras:</t>
        </r>
        <r>
          <rPr>
            <sz val="9"/>
            <color indexed="81"/>
            <rFont val="Calibri"/>
            <family val="2"/>
          </rPr>
          <t xml:space="preserve">
This is the true externality cost and should be in the base case, note it is similar to the .11 above in Leiby</t>
        </r>
      </text>
    </comment>
    <comment ref="B23" authorId="1">
      <text>
        <r>
          <rPr>
            <b/>
            <sz val="9"/>
            <color indexed="81"/>
            <rFont val="Calibri"/>
            <family val="2"/>
          </rPr>
          <t>Costa Samaras:</t>
        </r>
        <r>
          <rPr>
            <sz val="9"/>
            <color indexed="81"/>
            <rFont val="Calibri"/>
            <family val="2"/>
          </rPr>
          <t xml:space="preserve">
Note Leiby reports this sum as $6.71</t>
        </r>
      </text>
    </comment>
    <comment ref="F29" authorId="1">
      <text>
        <r>
          <rPr>
            <b/>
            <sz val="9"/>
            <color indexed="81"/>
            <rFont val="Calibri"/>
            <family val="2"/>
          </rPr>
          <t>Costa Samaras:</t>
        </r>
        <r>
          <rPr>
            <sz val="9"/>
            <color indexed="81"/>
            <rFont val="Calibri"/>
            <family val="2"/>
          </rPr>
          <t xml:space="preserve">
Note total costs are divided by net imports, which is appropriate for wealth transfers but conservative for GDP and dislocation costs (would be lower if divided by all oil consumption).</t>
        </r>
      </text>
    </comment>
  </commentList>
</comments>
</file>

<file path=xl/comments9.xml><?xml version="1.0" encoding="utf-8"?>
<comments xmlns="http://schemas.openxmlformats.org/spreadsheetml/2006/main">
  <authors>
    <author>drj</author>
    <author>J</author>
  </authors>
  <commentList>
    <comment ref="B9" authorId="0">
      <text>
        <r>
          <rPr>
            <b/>
            <sz val="9"/>
            <color indexed="81"/>
            <rFont val="Tahoma"/>
            <family val="2"/>
          </rPr>
          <t>drj:</t>
        </r>
        <r>
          <rPr>
            <sz val="9"/>
            <color indexed="81"/>
            <rFont val="Tahoma"/>
            <family val="2"/>
          </rPr>
          <t xml:space="preserve">
Verify</t>
        </r>
      </text>
    </comment>
    <comment ref="B10" authorId="1">
      <text>
        <r>
          <rPr>
            <b/>
            <sz val="9"/>
            <color indexed="81"/>
            <rFont val="Tahoma"/>
            <family val="2"/>
          </rPr>
          <t>J:</t>
        </r>
        <r>
          <rPr>
            <sz val="9"/>
            <color indexed="81"/>
            <rFont val="Tahoma"/>
            <family val="2"/>
          </rPr>
          <t xml:space="preserve">
Paulina to verify</t>
        </r>
      </text>
    </comment>
  </commentList>
</comments>
</file>

<file path=xl/sharedStrings.xml><?xml version="1.0" encoding="utf-8"?>
<sst xmlns="http://schemas.openxmlformats.org/spreadsheetml/2006/main" count="2506" uniqueCount="781">
  <si>
    <t>Vehicle life</t>
  </si>
  <si>
    <t>Petrol</t>
  </si>
  <si>
    <t>CO</t>
  </si>
  <si>
    <t>VOC</t>
  </si>
  <si>
    <t>years</t>
  </si>
  <si>
    <t>Description</t>
  </si>
  <si>
    <t>Value</t>
  </si>
  <si>
    <t>Units</t>
  </si>
  <si>
    <t>CV</t>
  </si>
  <si>
    <t>HEV</t>
  </si>
  <si>
    <t>PHEV20</t>
  </si>
  <si>
    <t>PHEV60</t>
  </si>
  <si>
    <t>Scenario</t>
  </si>
  <si>
    <t>Scenario Type</t>
  </si>
  <si>
    <t>NHTS UF Truncation</t>
  </si>
  <si>
    <t>GHG</t>
  </si>
  <si>
    <t>%</t>
  </si>
  <si>
    <t>Medium</t>
  </si>
  <si>
    <t>Year</t>
  </si>
  <si>
    <t>(2000 = 1.00000)</t>
  </si>
  <si>
    <t>Implicit Price Deflator</t>
  </si>
  <si>
    <t>http://www.eia.doe.gov/oiaf/aeo/aeoref_tab.html</t>
  </si>
  <si>
    <t>http://www.eia.doe.gov/aer/append_d.html</t>
  </si>
  <si>
    <t>NRDC-EPRI</t>
  </si>
  <si>
    <t>BEV</t>
  </si>
  <si>
    <t>NOx</t>
  </si>
  <si>
    <t>PM10</t>
  </si>
  <si>
    <t>PM2.5</t>
  </si>
  <si>
    <t>CH4</t>
  </si>
  <si>
    <t>N2O</t>
  </si>
  <si>
    <t>mi/gal</t>
  </si>
  <si>
    <t>mi/kWh</t>
  </si>
  <si>
    <t>Gasoline</t>
  </si>
  <si>
    <t>gal</t>
  </si>
  <si>
    <t>kWh</t>
  </si>
  <si>
    <t>mt</t>
  </si>
  <si>
    <t>CDF Truncation (mile)</t>
  </si>
  <si>
    <t>miles</t>
  </si>
  <si>
    <t>Vehicle Efficiency, Lifetime Energy Use, and Lifetime Tailpipe Emissions</t>
  </si>
  <si>
    <t>SO2</t>
  </si>
  <si>
    <t>Vehicle Production</t>
  </si>
  <si>
    <t>Battery Production</t>
  </si>
  <si>
    <t>Electricity Production</t>
  </si>
  <si>
    <t>NH3</t>
  </si>
  <si>
    <t>TOTAL</t>
  </si>
  <si>
    <t>Breakdown of Externality Costs by Source</t>
  </si>
  <si>
    <t>GHG Valuation</t>
  </si>
  <si>
    <t>Low</t>
  </si>
  <si>
    <t>High</t>
  </si>
  <si>
    <t>Base Case</t>
  </si>
  <si>
    <t>95% Worst</t>
  </si>
  <si>
    <t>5% Best</t>
  </si>
  <si>
    <t>*</t>
  </si>
  <si>
    <t>Indicates the current scenario selected on model worksheet</t>
  </si>
  <si>
    <t>GHGs</t>
  </si>
  <si>
    <t>Gas Use</t>
  </si>
  <si>
    <t>Elec Use</t>
  </si>
  <si>
    <t>List of Constants for Unit Conversion</t>
  </si>
  <si>
    <t>Electricity Grid Mix Scenarios</t>
  </si>
  <si>
    <t>GasEq</t>
  </si>
  <si>
    <t>$/gal</t>
  </si>
  <si>
    <t>$/mt</t>
  </si>
  <si>
    <t>$/bbl</t>
  </si>
  <si>
    <t>Charging Efficiency</t>
  </si>
  <si>
    <t>Gasoline Production</t>
  </si>
  <si>
    <t>CO2</t>
  </si>
  <si>
    <t>Tailpipe GHGs</t>
  </si>
  <si>
    <t>Tailpipe Air Pollution Emissions</t>
  </si>
  <si>
    <t>Consumption</t>
  </si>
  <si>
    <t>Simpson 2006 (NREL)</t>
  </si>
  <si>
    <t>Bandivadekar et al 2008 (MIT)</t>
  </si>
  <si>
    <t>NRC 2010</t>
  </si>
  <si>
    <t>Timeframe</t>
  </si>
  <si>
    <t>Long term</t>
  </si>
  <si>
    <t>Zero</t>
  </si>
  <si>
    <t>Selected Year:</t>
  </si>
  <si>
    <t>-</t>
  </si>
  <si>
    <t>GDP Price Deflator for Converting to the Selected Reference Year Currency</t>
  </si>
  <si>
    <t>Frost &amp; Sullivan 20009a low</t>
  </si>
  <si>
    <t>Frost &amp; Sullivan 20009a high</t>
  </si>
  <si>
    <t>EPA/NHSTA 2009 low</t>
  </si>
  <si>
    <t>EPA/NHSTA 2009 high</t>
  </si>
  <si>
    <t>Delucchi low</t>
  </si>
  <si>
    <t>Delucchi high</t>
  </si>
  <si>
    <t>Delucchi (1998) "The Annualized Social Cost of Motor-Vehicle Use in the U.S. 1990-1991" UCD-ITS Report</t>
  </si>
  <si>
    <t>RAND09</t>
  </si>
  <si>
    <t>DELU98</t>
  </si>
  <si>
    <t>Crane et al (2009) "Imported Oil and U.S. National Security"</t>
  </si>
  <si>
    <t>EPRI07</t>
  </si>
  <si>
    <t>Duvall et al (2007) "Environmental Assessment of Plug-in Hybrid Electric Vehicles"</t>
  </si>
  <si>
    <t>ANL09</t>
  </si>
  <si>
    <t>Plotkin and Singh (2009) "Multi-Path Transportation Futures Study: Vehicle Characterization and Scenario Analysis"</t>
  </si>
  <si>
    <t>Publications Cited</t>
  </si>
  <si>
    <t>NRC10</t>
  </si>
  <si>
    <t>Cohon et al (2010) "Hidden Costs of Energy: Unpriced Consequences of Energy Production and Use"</t>
  </si>
  <si>
    <t>NOX</t>
  </si>
  <si>
    <t>50% Median</t>
  </si>
  <si>
    <t>GREET1.7 (2010)</t>
  </si>
  <si>
    <t>GREET1.7 (2020)</t>
  </si>
  <si>
    <t>NREL (2007)</t>
  </si>
  <si>
    <t>Source</t>
  </si>
  <si>
    <t>source</t>
  </si>
  <si>
    <t>PSAT</t>
  </si>
  <si>
    <t>KH</t>
  </si>
  <si>
    <t>J</t>
  </si>
  <si>
    <t>NREL07</t>
  </si>
  <si>
    <t>NHTS01</t>
  </si>
  <si>
    <t>NHTS09</t>
  </si>
  <si>
    <t>source: NHTS09</t>
  </si>
  <si>
    <t>source: EIA</t>
  </si>
  <si>
    <t>Name</t>
  </si>
  <si>
    <t>mt per short ton</t>
  </si>
  <si>
    <t>km per mi</t>
  </si>
  <si>
    <t>kWh per gal gasoline equivalent</t>
  </si>
  <si>
    <t>CH4_to_CO2eq</t>
  </si>
  <si>
    <t>galgaseq_to_kWh</t>
  </si>
  <si>
    <t>mi_to_km</t>
  </si>
  <si>
    <t>ton_to_mt</t>
  </si>
  <si>
    <t>N2O_to_CO2eq</t>
  </si>
  <si>
    <t>energy allocation of a quantity per bbl oil to gallons of gasoline produced</t>
  </si>
  <si>
    <t>batsizeBEV</t>
  </si>
  <si>
    <t>batsizePHEV60</t>
  </si>
  <si>
    <t>batsizePHEV20</t>
  </si>
  <si>
    <t>USD_1949</t>
  </si>
  <si>
    <t>USD_1950</t>
  </si>
  <si>
    <t>USD_1951</t>
  </si>
  <si>
    <t>USD_1952</t>
  </si>
  <si>
    <t>USD_1953</t>
  </si>
  <si>
    <t>USD_1954</t>
  </si>
  <si>
    <t>USD_1955</t>
  </si>
  <si>
    <t>USD_1956</t>
  </si>
  <si>
    <t>USD_1957</t>
  </si>
  <si>
    <t>USD_1958</t>
  </si>
  <si>
    <t>USD_1959</t>
  </si>
  <si>
    <t>USD_1960</t>
  </si>
  <si>
    <t>USD_1961</t>
  </si>
  <si>
    <t>USD_1962</t>
  </si>
  <si>
    <t>USD_1963</t>
  </si>
  <si>
    <t>USD_1964</t>
  </si>
  <si>
    <t>USD_1965</t>
  </si>
  <si>
    <t>USD_1966</t>
  </si>
  <si>
    <t>USD_1967</t>
  </si>
  <si>
    <t>USD_1968</t>
  </si>
  <si>
    <t>USD_1969</t>
  </si>
  <si>
    <t>USD_1970</t>
  </si>
  <si>
    <t>USD_1971</t>
  </si>
  <si>
    <t>USD_1972</t>
  </si>
  <si>
    <t>USD_1973</t>
  </si>
  <si>
    <t>USD_1974</t>
  </si>
  <si>
    <t>USD_1975</t>
  </si>
  <si>
    <t>USD_1976</t>
  </si>
  <si>
    <t>USD_1977</t>
  </si>
  <si>
    <t>USD_1978</t>
  </si>
  <si>
    <t>USD_1979</t>
  </si>
  <si>
    <t>USD_1980</t>
  </si>
  <si>
    <t>USD_1981</t>
  </si>
  <si>
    <t>USD_1982</t>
  </si>
  <si>
    <t>USD_1983</t>
  </si>
  <si>
    <t>USD_1984</t>
  </si>
  <si>
    <t>USD_1985</t>
  </si>
  <si>
    <t>USD_1986</t>
  </si>
  <si>
    <t>USD_1987</t>
  </si>
  <si>
    <t>USD_1988</t>
  </si>
  <si>
    <t>USD_1989</t>
  </si>
  <si>
    <t>USD_1990</t>
  </si>
  <si>
    <t>USD_1991</t>
  </si>
  <si>
    <t>USD_1992</t>
  </si>
  <si>
    <t>USD_1993</t>
  </si>
  <si>
    <t>USD_1994</t>
  </si>
  <si>
    <t>USD_1995</t>
  </si>
  <si>
    <t>USD_1996</t>
  </si>
  <si>
    <t>USD_1997</t>
  </si>
  <si>
    <t>USD_1998</t>
  </si>
  <si>
    <t>USD_1999</t>
  </si>
  <si>
    <t>USD_2000</t>
  </si>
  <si>
    <t>USD_2001</t>
  </si>
  <si>
    <t>USD_2002</t>
  </si>
  <si>
    <t>USD_2003</t>
  </si>
  <si>
    <t>USD_2004</t>
  </si>
  <si>
    <t>USD_2005</t>
  </si>
  <si>
    <t>USD_2006</t>
  </si>
  <si>
    <t>USD_2007a</t>
  </si>
  <si>
    <t>USD_2007</t>
  </si>
  <si>
    <t>USD_2008</t>
  </si>
  <si>
    <t>USD_2009</t>
  </si>
  <si>
    <t>USD_2010</t>
  </si>
  <si>
    <t>USD_2011</t>
  </si>
  <si>
    <t>USD_2012</t>
  </si>
  <si>
    <t>USD_2013</t>
  </si>
  <si>
    <t>USD_2014</t>
  </si>
  <si>
    <t>USD_2015</t>
  </si>
  <si>
    <t>USD_2016</t>
  </si>
  <si>
    <t>USD_2017</t>
  </si>
  <si>
    <t>USD_2018</t>
  </si>
  <si>
    <t>USD_2019</t>
  </si>
  <si>
    <t>USD_2020</t>
  </si>
  <si>
    <t>USD_2021</t>
  </si>
  <si>
    <t>USD_2022</t>
  </si>
  <si>
    <t>USD_2023</t>
  </si>
  <si>
    <t>USD_2024</t>
  </si>
  <si>
    <t>USD_2025</t>
  </si>
  <si>
    <t>USD_2026</t>
  </si>
  <si>
    <t>USD_2027</t>
  </si>
  <si>
    <t>USD_2028</t>
  </si>
  <si>
    <t>USD_2029</t>
  </si>
  <si>
    <t>USD_2030</t>
  </si>
  <si>
    <t>USD_2031</t>
  </si>
  <si>
    <t>USD_2032</t>
  </si>
  <si>
    <t>USD_2033</t>
  </si>
  <si>
    <t>USD_2034</t>
  </si>
  <si>
    <t>USD_2035</t>
  </si>
  <si>
    <t>Annual mileage</t>
  </si>
  <si>
    <t>Lifetime mileage</t>
  </si>
  <si>
    <t>Tailpipe mt CO2 / gal gas</t>
  </si>
  <si>
    <t>galgas_to_mtCO2</t>
  </si>
  <si>
    <t>Base year for $ conversion</t>
  </si>
  <si>
    <t>NRC10b</t>
  </si>
  <si>
    <t>Ramage et al (2010) "Transitions to Alternative Transportation Technologies - Plug-in Hybrid Electric Vehicles" National Research Council of the National Academies</t>
  </si>
  <si>
    <t>Ref</t>
  </si>
  <si>
    <t>Citation</t>
  </si>
  <si>
    <t>K. Parks, P. Denholm, and T. Markel (2007) Costs and Emissions Associated with Plug-In Hybrid Electric Vehicle Charging in the Xcel Energy Colorado Service Territory. Technical Report. NREL/TP-640-41410. May 2007.</t>
  </si>
  <si>
    <t>Nominal discount rate</t>
  </si>
  <si>
    <t>Inflation rate for fuel prices</t>
  </si>
  <si>
    <t>Present|Annual @ real rate</t>
  </si>
  <si>
    <t>Breakdown of Externality Costs by Type</t>
  </si>
  <si>
    <t>Vehicle Direct Cost</t>
  </si>
  <si>
    <t>Vehicle use data source</t>
  </si>
  <si>
    <t>Model Parameters</t>
  </si>
  <si>
    <t>* Only externality costs included in the study</t>
  </si>
  <si>
    <t>Kromer and Heywood (2009) "A Comparative Assessment of Electric Propulsion Systems in the 2030 US Light-Duty Vehicle Fleet, SAE International Journal of Engines, Volume 1, April 2009 pp372-391</t>
  </si>
  <si>
    <t>Vehicle Production Cost</t>
  </si>
  <si>
    <t>CH10</t>
  </si>
  <si>
    <t>Matthews, H.S. and L. Lave (2000) "Applications of Environmental Valuation for Determining Externality Costs" Environ. Sci. Technol., 2000, 34 (8), pp 1390–1395</t>
  </si>
  <si>
    <t>ML00</t>
  </si>
  <si>
    <t>Scenario Selection and Summary of Results</t>
  </si>
  <si>
    <t>ealloc_perbbloil_to_pergalgas</t>
  </si>
  <si>
    <t>Valuation of Vehicle Tailpipe Air Pollution by Location ($/mt)</t>
  </si>
  <si>
    <t>GHG Valuation Scenarios ($/mt)</t>
  </si>
  <si>
    <t>batsizeHEV_Liion</t>
  </si>
  <si>
    <t>batsizeHEV_NiMH</t>
  </si>
  <si>
    <t>These graphs do not update automatically. Data must be pasted in.</t>
  </si>
  <si>
    <t xml:space="preserve"> </t>
  </si>
  <si>
    <t>Emissions</t>
  </si>
  <si>
    <t>EPA</t>
  </si>
  <si>
    <t>ANL10</t>
  </si>
  <si>
    <t>Elgowainy et al (2010) Well-to-Wheels Analysis of Energy use and Greenhouse Gas Emissions of Plug-in Hybrid Electric Vehicles</t>
  </si>
  <si>
    <t>Gasoline Production Mix</t>
  </si>
  <si>
    <t>9.4% Oil Sands GREET</t>
  </si>
  <si>
    <t>0% Oil Sands GREET</t>
  </si>
  <si>
    <t>100% Oil Sands GREET</t>
  </si>
  <si>
    <t>Rated AER (miles)</t>
  </si>
  <si>
    <t>2015 low</t>
  </si>
  <si>
    <t>2015 avg</t>
  </si>
  <si>
    <t>2015 high</t>
  </si>
  <si>
    <t>2010 swing</t>
  </si>
  <si>
    <t>Total energy</t>
  </si>
  <si>
    <t>PHEV10mile</t>
  </si>
  <si>
    <t>Usable energy</t>
  </si>
  <si>
    <t>PHEV20km</t>
  </si>
  <si>
    <t>PHEV20mile</t>
  </si>
  <si>
    <t>PHEV30mile</t>
  </si>
  <si>
    <t>PHEV60km</t>
  </si>
  <si>
    <t>PHEV40mile</t>
  </si>
  <si>
    <t>Vehicle Battery Size</t>
  </si>
  <si>
    <t>Watt-hours</t>
  </si>
  <si>
    <t>Source: ANL10</t>
  </si>
  <si>
    <t>0 miles</t>
  </si>
  <si>
    <t>12.5 miles</t>
  </si>
  <si>
    <t>37.5 miles</t>
  </si>
  <si>
    <t>150 miles</t>
  </si>
  <si>
    <t>12.8 miles</t>
  </si>
  <si>
    <t>25.4 miles</t>
  </si>
  <si>
    <t>Blended CD-mode range (ANL10)</t>
  </si>
  <si>
    <t>Range</t>
  </si>
  <si>
    <t>AER for all-electric control strategy</t>
  </si>
  <si>
    <t>AER and CD-mode Vehicle Range</t>
  </si>
  <si>
    <t>Gasoline Prices</t>
  </si>
  <si>
    <t>Electricity Prices</t>
  </si>
  <si>
    <t>cents/kWh</t>
  </si>
  <si>
    <t>Electricity Price</t>
  </si>
  <si>
    <t>Gasoline Price</t>
  </si>
  <si>
    <t>cents/gal</t>
  </si>
  <si>
    <t>Min since 2008</t>
  </si>
  <si>
    <t>Max since 2008</t>
  </si>
  <si>
    <t>Average since 2008</t>
  </si>
  <si>
    <t>Vehicle Tailpipe Location</t>
  </si>
  <si>
    <t>ANL09 Lit Review 2015</t>
  </si>
  <si>
    <t>ANL09 Lit Review 2015 retail</t>
  </si>
  <si>
    <t>ANL09 Lit Review 2030</t>
  </si>
  <si>
    <t>ANL09 DOE Goals 2030</t>
  </si>
  <si>
    <t>ANL09 Lit Review 2030 retail</t>
  </si>
  <si>
    <t>ANL09 DOE Goals 2030 retail</t>
  </si>
  <si>
    <t>ANL09 DOE Goals 2015 retail</t>
  </si>
  <si>
    <t>ANL09 DOE Goals 2015</t>
  </si>
  <si>
    <t>Value Reported</t>
  </si>
  <si>
    <t>Leiby 2007</t>
  </si>
  <si>
    <t xml:space="preserve">Monopsony Premium Midpoint </t>
  </si>
  <si>
    <t>$2004/bbl</t>
  </si>
  <si>
    <t>Monopsony Premium Low</t>
  </si>
  <si>
    <t>Monopsony Premium High</t>
  </si>
  <si>
    <t>Disruption and Adjustment Costs Midpoint</t>
  </si>
  <si>
    <t>Disruption and Adjustment Costs Low</t>
  </si>
  <si>
    <t>Disruption and Adjustment Costs High</t>
  </si>
  <si>
    <t>Total Midpoint</t>
  </si>
  <si>
    <t>Total Low</t>
  </si>
  <si>
    <t>Total High</t>
  </si>
  <si>
    <t>Brown and Huntington 2009 (2015-2016 imported oil externality security premiums shown)</t>
  </si>
  <si>
    <t xml:space="preserve">Externality Portion of Increased Wealth Transfers During Disruptions Midpoint  </t>
  </si>
  <si>
    <t>$2007/bbl</t>
  </si>
  <si>
    <t>Externality Portion of Increased Wealth Transfers During Disruptions Low</t>
  </si>
  <si>
    <t>Externality Portion of Increased Wealth Transfers During Disruptions High</t>
  </si>
  <si>
    <t xml:space="preserve">Externality Portion of GDP Losses During Supply Distruptions Midpoint </t>
  </si>
  <si>
    <t>Externality Portion of GDP Losses During Supply Distruptions Low</t>
  </si>
  <si>
    <t>Externality Portion of GDP Losses During Supply Distruptionss High</t>
  </si>
  <si>
    <t>Total 2015-2016 Midpoint</t>
  </si>
  <si>
    <t>Total  2015-2016 Low</t>
  </si>
  <si>
    <t>Total  2015-2016 High</t>
  </si>
  <si>
    <t>Parry 2009 cites Leiby (2007) and Brown and Huntington (2009) $0.10/gallon as placeholder</t>
  </si>
  <si>
    <t>Greene 2010</t>
  </si>
  <si>
    <t>Total U.S. Wealth Transfer</t>
  </si>
  <si>
    <t>$2007</t>
  </si>
  <si>
    <t>Lost Potential to Produce GDP</t>
  </si>
  <si>
    <t>Adjustment (Dislocation) Costs</t>
  </si>
  <si>
    <t>Total Oil Dependence Costs to the U.S. Economy in 2008</t>
  </si>
  <si>
    <t>Source: Transportation Energy Data Book, Oak Ridge National Laboratory, 2010</t>
  </si>
  <si>
    <t>The U.S. share of the world’s petroleum consumption is approximately one-quarter.  The U.S. relies heavily on imported</t>
  </si>
  <si>
    <t>petroleum.  Imports accounted for nearly 52% of U.S. petroleum consumption in 2009.</t>
  </si>
  <si>
    <t>Table 1.12</t>
  </si>
  <si>
    <t>Petroleum Production and Consumption and Some Important Percent Shares, 1950–2009</t>
  </si>
  <si>
    <t>U.S.</t>
  </si>
  <si>
    <t>Net</t>
  </si>
  <si>
    <t>petroleum</t>
  </si>
  <si>
    <t>Transportation</t>
  </si>
  <si>
    <t>Domestic</t>
  </si>
  <si>
    <t xml:space="preserve">Net </t>
  </si>
  <si>
    <t>World</t>
  </si>
  <si>
    <t>imports</t>
  </si>
  <si>
    <t>consumption</t>
  </si>
  <si>
    <t>petroleum use</t>
  </si>
  <si>
    <t>as a share of</t>
  </si>
  <si>
    <t>production</t>
  </si>
  <si>
    <t>world</t>
  </si>
  <si>
    <t>domestic</t>
  </si>
  <si>
    <t>(million barrels per day)</t>
  </si>
  <si>
    <t>b</t>
  </si>
  <si>
    <t>Average annual percentage change</t>
  </si>
  <si>
    <t>1950–2009</t>
  </si>
  <si>
    <t>1970–2009</t>
  </si>
  <si>
    <t>1999–2009</t>
  </si>
  <si>
    <t xml:space="preserve">Source: </t>
  </si>
  <si>
    <r>
      <t xml:space="preserve">U.S. Department of Energy, Energy Information Administration, </t>
    </r>
    <r>
      <rPr>
        <i/>
        <sz val="9"/>
        <rFont val="Arial"/>
        <family val="2"/>
      </rPr>
      <t>Monthly Energy Review</t>
    </r>
    <r>
      <rPr>
        <sz val="9"/>
        <rFont val="Arial"/>
        <family val="2"/>
      </rPr>
      <t xml:space="preserve">, March 2010, Tables 2.5, 3.1, and A3. </t>
    </r>
  </si>
  <si>
    <r>
      <t xml:space="preserve">      (Pre-1973 data from the </t>
    </r>
    <r>
      <rPr>
        <i/>
        <sz val="9"/>
        <rFont val="Arial"/>
        <family val="2"/>
      </rPr>
      <t>Annual Energy Review</t>
    </r>
    <r>
      <rPr>
        <sz val="9"/>
        <rFont val="Arial"/>
        <family val="2"/>
      </rPr>
      <t xml:space="preserve">). World petroleum consumption - U.S. Department of Energy, Energy Information </t>
    </r>
  </si>
  <si>
    <r>
      <t xml:space="preserve">      Administration, </t>
    </r>
    <r>
      <rPr>
        <i/>
        <sz val="9"/>
        <rFont val="Arial"/>
        <family val="2"/>
      </rPr>
      <t xml:space="preserve">International Petroleum Monthly, </t>
    </r>
    <r>
      <rPr>
        <sz val="9"/>
        <rFont val="Arial"/>
        <family val="2"/>
      </rPr>
      <t>March 2010</t>
    </r>
    <r>
      <rPr>
        <sz val="9"/>
        <rFont val="Arial"/>
        <family val="2"/>
      </rPr>
      <t>, Table 1.7 and annual.  (Additional resources: www.eia.doe.gov)</t>
    </r>
  </si>
  <si>
    <t xml:space="preserve">    </t>
  </si>
  <si>
    <r>
      <t xml:space="preserve">   </t>
    </r>
    <r>
      <rPr>
        <vertAlign val="superscript"/>
        <sz val="9"/>
        <rFont val="Arial"/>
        <family val="2"/>
      </rPr>
      <t xml:space="preserve">  a </t>
    </r>
    <r>
      <rPr>
        <sz val="9"/>
        <rFont val="Arial"/>
        <family val="2"/>
      </rPr>
      <t>Total domestic production includes crude oil, natural gas plant liquids and small amounts of other liquids.</t>
    </r>
  </si>
  <si>
    <r>
      <t xml:space="preserve">   </t>
    </r>
    <r>
      <rPr>
        <vertAlign val="superscript"/>
        <sz val="9"/>
        <rFont val="Arial"/>
        <family val="2"/>
      </rPr>
      <t xml:space="preserve">  b </t>
    </r>
    <r>
      <rPr>
        <sz val="9"/>
        <rFont val="Arial"/>
        <family val="2"/>
      </rPr>
      <t>Data are not available.</t>
    </r>
  </si>
  <si>
    <t>Oil Use</t>
  </si>
  <si>
    <t>The share of petroleum imported to the U.S. can be calculated using total imports or net</t>
  </si>
  <si>
    <t xml:space="preserve"> imports.  Net imports, which is the preferred data, rose to 50% of U.S. petroleum </t>
  </si>
  <si>
    <t xml:space="preserve">consumption for the first time in 1998, while total imports reached 50% for the first time in </t>
  </si>
  <si>
    <t>1993.  OPEC share of net imports has been below 50% since 1993.</t>
  </si>
  <si>
    <t>Table 1.7</t>
  </si>
  <si>
    <t>U.S. Petroleum Imports by World Region of Origin, 1960–2009</t>
  </si>
  <si>
    <t>Net imports</t>
  </si>
  <si>
    <t xml:space="preserve">Persian Gulf </t>
  </si>
  <si>
    <t>Persian</t>
  </si>
  <si>
    <r>
      <t>OPEC</t>
    </r>
    <r>
      <rPr>
        <vertAlign val="superscript"/>
        <sz val="10"/>
        <rFont val="Arial"/>
        <family val="2"/>
      </rPr>
      <t>a</t>
    </r>
  </si>
  <si>
    <t>OPEC</t>
  </si>
  <si>
    <r>
      <t>nation</t>
    </r>
    <r>
      <rPr>
        <vertAlign val="superscript"/>
        <sz val="10"/>
        <rFont val="Arial"/>
        <family val="2"/>
      </rPr>
      <t>b</t>
    </r>
    <r>
      <rPr>
        <sz val="10"/>
        <rFont val="Arial"/>
        <family val="2"/>
      </rPr>
      <t xml:space="preserve"> </t>
    </r>
  </si>
  <si>
    <t>Gulf</t>
  </si>
  <si>
    <t xml:space="preserve">Total </t>
  </si>
  <si>
    <t xml:space="preserve"> share</t>
  </si>
  <si>
    <t>c</t>
  </si>
  <si>
    <t>1960–2009</t>
  </si>
  <si>
    <t>Source:</t>
  </si>
  <si>
    <r>
      <t xml:space="preserve">U.S. Department of Energy, Energy Information Administration, </t>
    </r>
    <r>
      <rPr>
        <i/>
        <sz val="10"/>
        <rFont val="Arial"/>
        <family val="2"/>
      </rPr>
      <t>Monthly Energy Review</t>
    </r>
    <r>
      <rPr>
        <sz val="10"/>
        <rFont val="Arial"/>
        <family val="2"/>
      </rPr>
      <t>,</t>
    </r>
  </si>
  <si>
    <t xml:space="preserve">      Washington, DC, March 2010, Table 3.3a.</t>
  </si>
  <si>
    <r>
      <t xml:space="preserve">     </t>
    </r>
    <r>
      <rPr>
        <vertAlign val="superscript"/>
        <sz val="10"/>
        <rFont val="Arial"/>
        <family val="2"/>
      </rPr>
      <t xml:space="preserve">a </t>
    </r>
    <r>
      <rPr>
        <sz val="10"/>
        <rFont val="Arial"/>
        <family val="2"/>
      </rPr>
      <t>Organization of Petroleum Exporting Countries.  See Glossary for membership.</t>
    </r>
  </si>
  <si>
    <r>
      <t xml:space="preserve">   </t>
    </r>
    <r>
      <rPr>
        <vertAlign val="superscript"/>
        <sz val="10"/>
        <rFont val="Arial"/>
        <family val="2"/>
      </rPr>
      <t xml:space="preserve">  b </t>
    </r>
    <r>
      <rPr>
        <sz val="10"/>
        <rFont val="Arial"/>
        <family val="2"/>
      </rPr>
      <t>See Glossary for Persian Gulf nations.</t>
    </r>
  </si>
  <si>
    <r>
      <t xml:space="preserve">    </t>
    </r>
    <r>
      <rPr>
        <vertAlign val="superscript"/>
        <sz val="10"/>
        <rFont val="Arial"/>
        <family val="2"/>
      </rPr>
      <t xml:space="preserve"> c </t>
    </r>
    <r>
      <rPr>
        <sz val="10"/>
        <rFont val="Arial"/>
        <family val="2"/>
      </rPr>
      <t>Data are not available.</t>
    </r>
  </si>
  <si>
    <t>Oil Imports</t>
  </si>
  <si>
    <t>Base Year Value ($/bbl)</t>
  </si>
  <si>
    <t>$/imported bbl</t>
  </si>
  <si>
    <t>Implied $/gallon gasoline</t>
  </si>
  <si>
    <t>$/imported and total bbl</t>
  </si>
  <si>
    <t>Max LA reformulated</t>
  </si>
  <si>
    <t>Total</t>
  </si>
  <si>
    <t>Lifetime Emissions Damages</t>
  </si>
  <si>
    <t>Lifetime Costs and Damages</t>
  </si>
  <si>
    <t>GREET1.8d (2010)</t>
  </si>
  <si>
    <t>GRT10</t>
  </si>
  <si>
    <t>GREET.8d (2015)</t>
  </si>
  <si>
    <t>GRT15</t>
  </si>
  <si>
    <t>GREET1.8d (2020)</t>
  </si>
  <si>
    <t>GRT20</t>
  </si>
  <si>
    <t>ANLWTW(2008)</t>
  </si>
  <si>
    <t>Elec Efficiency (CD-mode)</t>
  </si>
  <si>
    <t>Gas Efficiency (CD-mode)</t>
  </si>
  <si>
    <t>Gas Efficiency (CS-mode)</t>
  </si>
  <si>
    <t>Direct Emissions (mt/kWh)</t>
  </si>
  <si>
    <t>Upstream Emissions (mt/kWh)</t>
  </si>
  <si>
    <t>Direct Emissions (mt/per gal gasoline output)</t>
  </si>
  <si>
    <t>Upstream Emissions (mt/per gal gasoline output)</t>
  </si>
  <si>
    <t>Vehicle Production (Excluding Battery)</t>
  </si>
  <si>
    <t>GREET</t>
  </si>
  <si>
    <t>Oil Sands</t>
  </si>
  <si>
    <t>Case</t>
  </si>
  <si>
    <t>Direct</t>
  </si>
  <si>
    <t>($2000/Mg)</t>
  </si>
  <si>
    <t>Selected</t>
  </si>
  <si>
    <t>Weighted Avg.</t>
  </si>
  <si>
    <t>Elec Upstream Location</t>
  </si>
  <si>
    <t>Gasoline Upstream Location</t>
  </si>
  <si>
    <t>Value of Direct Emissions ($/mt)</t>
  </si>
  <si>
    <t>Value of Upstream Emissions ($/mt)</t>
  </si>
  <si>
    <t>Value of emissions</t>
  </si>
  <si>
    <t>Upstream (All US counties)</t>
  </si>
  <si>
    <t>Upstream (Refining counties)</t>
  </si>
  <si>
    <t>Gasoline Upstream Counties</t>
  </si>
  <si>
    <t>Case where county locations where refining takes place are used to determine valuation of upstream emissions</t>
  </si>
  <si>
    <t>Case where county locations where natural gas production takes place are used to value upstream emissions</t>
  </si>
  <si>
    <t>Case where all US county locations are used to value upstream emissions</t>
  </si>
  <si>
    <t>Summary of Selected Scenario</t>
  </si>
  <si>
    <t>Direct Emissions (mt/gal gasoline output)</t>
  </si>
  <si>
    <t>Upstream Emissions (mt/gal gasoline output)</t>
  </si>
  <si>
    <t>Upstream Cases</t>
  </si>
  <si>
    <t>Value of Upstream Emissions (2000$/mt)</t>
  </si>
  <si>
    <t>Value of Direct Emissions (2000$/mt)</t>
  </si>
  <si>
    <t>Direct Damages ($/gal)</t>
  </si>
  <si>
    <t>Upstream Damages ($/gal)</t>
  </si>
  <si>
    <t>GHG value</t>
  </si>
  <si>
    <t>Upstream location assumption</t>
  </si>
  <si>
    <t>5% best</t>
  </si>
  <si>
    <t>95% worst</t>
  </si>
  <si>
    <t>Weighted Average</t>
  </si>
  <si>
    <t>Case (Net valuation)</t>
  </si>
  <si>
    <t>Direct Emissions Damages ($/kWh)</t>
  </si>
  <si>
    <t>Gasoline Refining Location</t>
  </si>
  <si>
    <t>Summary of selected scenario</t>
  </si>
  <si>
    <t>Value of Upstream Emissions for ICEV (2000$/mt)</t>
  </si>
  <si>
    <t>Value of Direct Emissions for Lead Acid (2000$/mt)</t>
  </si>
  <si>
    <t>Value of Direct Emissions for NiMH (2000$/mt)</t>
  </si>
  <si>
    <t>Value of Direct Emissions for Li-ion (2000$/mt)</t>
  </si>
  <si>
    <t>Value of Upstream Emissions for Lead Acid (2000$/mt)</t>
  </si>
  <si>
    <t>Value of Upstream Emissions for NiMH (2000$/mt)</t>
  </si>
  <si>
    <t>Value of Upstream Emissions for Li-ion (2000$/mt)</t>
  </si>
  <si>
    <t>Tailpipe Emissions</t>
  </si>
  <si>
    <t>Value of Direct Emissions for HEV w/ NiMH (2000$/mt)</t>
  </si>
  <si>
    <t>Value of Upstream Emissions for HEV w/ NiMH (2000$/mt)</t>
  </si>
  <si>
    <t>Value of Direct Emissions for HEV w/ Li-ion (2000$/mt)</t>
  </si>
  <si>
    <t>Value of Upstream Emissions for HEV w/ Li-ion (2000$/mt)</t>
  </si>
  <si>
    <t>Battery Manufacturing Direct and Upstream Damages ($/vehicle)</t>
  </si>
  <si>
    <t>Vehicle Manufacturing (Excluding Battery) Direct and Upstream Damages ($/vehicle)</t>
  </si>
  <si>
    <t>Value of Direct Emissions from Assembly</t>
  </si>
  <si>
    <t>Value of Upstream Emissions</t>
  </si>
  <si>
    <t>Direct Emissions (Assembly)</t>
  </si>
  <si>
    <t>Upstream Emissions</t>
  </si>
  <si>
    <t>Value of Direct  Emissions for ICEV (2000$/mt)</t>
  </si>
  <si>
    <t>Value of Emissions</t>
  </si>
  <si>
    <t>Damages</t>
  </si>
  <si>
    <t>Upstream Emissions Damages ($/kWh)</t>
  </si>
  <si>
    <t>Valuation of Oil Consumption and GHG Emissions</t>
  </si>
  <si>
    <t>Upstream Emissions (lb/MWh)</t>
  </si>
  <si>
    <t>Direct Emissions (lb/MWh)</t>
  </si>
  <si>
    <t>Direct Emissions Damages (2000$/MWh)</t>
  </si>
  <si>
    <t>Upstream Emissions Damages (2000$/MWh)</t>
  </si>
  <si>
    <t>lb_to_mt</t>
  </si>
  <si>
    <t>mt per lb</t>
  </si>
  <si>
    <t>Same Data in Original Units:</t>
  </si>
  <si>
    <t>Total Emissions (mt/kWh)</t>
  </si>
  <si>
    <t>Total Emissions Damages ($/kWh)</t>
  </si>
  <si>
    <t>Total Damages ($/gal)</t>
  </si>
  <si>
    <t>Gasoline (gal)</t>
  </si>
  <si>
    <t>Electricity (kWh)</t>
  </si>
  <si>
    <t>Lifetime Consumption</t>
  </si>
  <si>
    <t>Elec Production Plant</t>
  </si>
  <si>
    <t>Emissions from Vehicle and Battery Manufacturing</t>
  </si>
  <si>
    <t>Upstream</t>
  </si>
  <si>
    <t>Avg 3100 US Counties</t>
  </si>
  <si>
    <t>Wgt Avg Auto Manuf Counties</t>
  </si>
  <si>
    <t>PSAT UDDS (ref)</t>
  </si>
  <si>
    <t>PSAT Combined (ref)</t>
  </si>
  <si>
    <t>PSAT Adjusted (ref)</t>
  </si>
  <si>
    <t>Jaramillo et al (ref)</t>
  </si>
  <si>
    <t>ANL / Combined (ref)</t>
  </si>
  <si>
    <t>NRC (ref)</t>
  </si>
  <si>
    <t>Delucchi high (ref)</t>
  </si>
  <si>
    <t>Delucchi low (ref)</t>
  </si>
  <si>
    <t>NREL (ref)</t>
  </si>
  <si>
    <t>Kromer/Heywood (ref)</t>
  </si>
  <si>
    <t>Percent of miles traveled in CD-mode</t>
  </si>
  <si>
    <t>Vehicle Ownership Costs</t>
  </si>
  <si>
    <t>HEV to PHEV20</t>
  </si>
  <si>
    <t>HEV to PHEV60</t>
  </si>
  <si>
    <t>HEV to BEV</t>
  </si>
  <si>
    <t>Cost of Ownership</t>
  </si>
  <si>
    <t>kg</t>
  </si>
  <si>
    <t>Vehicle Battery Specs</t>
  </si>
  <si>
    <t>PHEV/BEV</t>
  </si>
  <si>
    <t>Saft VL41M</t>
  </si>
  <si>
    <t>Wh/kg</t>
  </si>
  <si>
    <t>Cell Type</t>
  </si>
  <si>
    <t>Specific Energy</t>
  </si>
  <si>
    <t>GREET 2.7 Manual</t>
  </si>
  <si>
    <t>Saft 5Ah</t>
  </si>
  <si>
    <t>Energy</t>
  </si>
  <si>
    <t>GREET WTW Report</t>
  </si>
  <si>
    <t>CV Bat</t>
  </si>
  <si>
    <t>HEV Bat</t>
  </si>
  <si>
    <t>PHEV20 Bat</t>
  </si>
  <si>
    <t>PHEV60 Bat</t>
  </si>
  <si>
    <t>BEV Bat</t>
  </si>
  <si>
    <t>Li-ion Battery Life (years)</t>
  </si>
  <si>
    <t>Li-ion battery replacements</t>
  </si>
  <si>
    <t>Lifetime Gasoline Cost</t>
  </si>
  <si>
    <t>Lifetime Electricity Cost</t>
  </si>
  <si>
    <t>Base Vehicle Cost</t>
  </si>
  <si>
    <t>Initial Battery Cost</t>
  </si>
  <si>
    <t>Battery Replacement Cost</t>
  </si>
  <si>
    <t>Net Lifetime Cost</t>
  </si>
  <si>
    <t>NiMH Battery Life (years)</t>
  </si>
  <si>
    <t>NiMH battery replacements</t>
  </si>
  <si>
    <t>PbAcid battery replacements</t>
  </si>
  <si>
    <t>Battery Production (total includes replacement)</t>
  </si>
  <si>
    <t>5% Elec Source</t>
  </si>
  <si>
    <t>95% Elec Source</t>
  </si>
  <si>
    <t>CV Direct Emissions from Assembly (mt/per vehicle) - source: GREET 2.7</t>
  </si>
  <si>
    <t>CV Upstream Emissions (mt/per vehicle) - source: GREET 2.7</t>
  </si>
  <si>
    <t>HEV Direct Emissions from Assembly (mt/per vehicle) - source: GREET 2.7</t>
  </si>
  <si>
    <t>HEV Upstream Emissions (mt/per vehicle) - source: GREET 2.7</t>
  </si>
  <si>
    <t>HEV (Li-ion) Direct Emissions from Assembly (mt/per vehicle) - source: GREET 2.7</t>
  </si>
  <si>
    <t>HEV (Li-ion) Upstream Emissions (mt/per vehicle) - source: GREET 2.7</t>
  </si>
  <si>
    <t>US Avg Elec</t>
  </si>
  <si>
    <t>Manuf Elec Source</t>
  </si>
  <si>
    <t>PHEV20 Direct Emissions from Assembly (mt/per vehicle) - source: GREET 2.7</t>
  </si>
  <si>
    <t>PHEV20 Upstream Emissions (mt/per vehicle) - source: GREET 2.7</t>
  </si>
  <si>
    <t>PHEV20 Li-ion Upstream Emissions (mt/per vehicle) - source: GREET 2.7</t>
  </si>
  <si>
    <t>PHEV20 Li-ion Direct Emissions from Assembly (mt/per vehicle) - source: GREET 2.7</t>
  </si>
  <si>
    <t>HEV Li-ion Direct Emissions from Assembly (mt/per vehicle) - source: GREET 2.7</t>
  </si>
  <si>
    <t>HEV NiMH Direct Emissions from Assembly (mt/per vehicle) - source: GREET 2.7</t>
  </si>
  <si>
    <t>CV Lead Acid Direct Emissions from Assembly (mt/per vehicle) - source: GREET 2.7</t>
  </si>
  <si>
    <t>CV Lead Acid Upstream Emissions (mt/per vehicle) - source: GREET 2.7</t>
  </si>
  <si>
    <t>HEV NiMH Upstream Emissions (mt/per vehicle) - source: GREET 2.7</t>
  </si>
  <si>
    <t>HEV Li-ion Upstream Emissions (mt/per vehicle) - source: GREET 2.7</t>
  </si>
  <si>
    <t>PHEV60 Direct Emissions from Assembly (mt/per vehicle) - source: GREET 2.7</t>
  </si>
  <si>
    <t>PHEV60 Li-ion Direct Emissions from Assembly (mt/per vehicle) - source: GREET 2.7</t>
  </si>
  <si>
    <t>PHEV60 Upstream Emissions (mt/per vehicle) - source: GREET 2.7</t>
  </si>
  <si>
    <t>PHEV60 Li-ion Upstream Emissions (mt/per vehicle) - source: GREET 2.7</t>
  </si>
  <si>
    <t>BEV Upstream Emissions (mt/per vehicle) - source: GREET 2.7</t>
  </si>
  <si>
    <t>BEV Li-ion Upstream Emissions (mt/per vehicle) - source: GREET 2.7</t>
  </si>
  <si>
    <t>BEV Direct Emissions from Assembly (mt/per vehicle) - source: GREET 2.7</t>
  </si>
  <si>
    <t>BEV Li-ion Direct Emissions from Assembly (mt/per vehicle) - source: GREET 2.7</t>
  </si>
  <si>
    <t>Manuf. Upstream Location</t>
  </si>
  <si>
    <t>Manuf. Assembly Location</t>
  </si>
  <si>
    <t>BEV240</t>
  </si>
  <si>
    <t>Base</t>
  </si>
  <si>
    <t>Upstream (Oil/Gas Counties)</t>
  </si>
  <si>
    <t>HEV to CV</t>
  </si>
  <si>
    <t>Low Case</t>
  </si>
  <si>
    <t>High Case</t>
  </si>
  <si>
    <t>Vehicle
Cost Cases</t>
  </si>
  <si>
    <t>Gasoline
Price Cases</t>
  </si>
  <si>
    <t xml:space="preserve">Base
Case </t>
  </si>
  <si>
    <t>Ebar1</t>
  </si>
  <si>
    <t>Ebar2</t>
  </si>
  <si>
    <t>Oil Refining Cases</t>
  </si>
  <si>
    <t>Oil Source Cases</t>
  </si>
  <si>
    <t>Assembly Cases</t>
  </si>
  <si>
    <t>Manuf. Elec. Cases</t>
  </si>
  <si>
    <t>Vehicle Data Cases</t>
  </si>
  <si>
    <t>GHG Value Cases</t>
  </si>
  <si>
    <t xml:space="preserve">Low </t>
  </si>
  <si>
    <t>Net Costs</t>
  </si>
  <si>
    <t>Li-ion Batt.
Life Cases</t>
  </si>
  <si>
    <t>CDF</t>
  </si>
  <si>
    <t>Distance (km)</t>
  </si>
  <si>
    <t>Vehicle Operation</t>
  </si>
  <si>
    <t>Base Year Value ($/gallon imported gasoline)</t>
  </si>
  <si>
    <t>$ per gallon all gasoline</t>
  </si>
  <si>
    <t>Imported</t>
  </si>
  <si>
    <t>Average</t>
  </si>
  <si>
    <t>Portion of U.S. Oil Consumption Imported</t>
  </si>
  <si>
    <t>Average, not marginal</t>
  </si>
  <si>
    <t>Estimated for imports</t>
  </si>
  <si>
    <t>Avg of imports/domestic</t>
  </si>
  <si>
    <t>Imports</t>
  </si>
  <si>
    <t>Mid</t>
  </si>
  <si>
    <t>GDP loss</t>
  </si>
  <si>
    <t>Wealth transfers</t>
  </si>
  <si>
    <t>Total externality</t>
  </si>
  <si>
    <t>Brown and Huntington (2007$)</t>
  </si>
  <si>
    <t>Brown and Huntington (base year)</t>
  </si>
  <si>
    <t>Leiby (2004$)</t>
  </si>
  <si>
    <t>Monopsony</t>
  </si>
  <si>
    <t>Leiby (base)</t>
  </si>
  <si>
    <t>Grid Mix
Cases</t>
  </si>
  <si>
    <t>Driving Lo-cation Cases</t>
  </si>
  <si>
    <t>PESSIMISTIC
Coal Fired
Power Plant</t>
  </si>
  <si>
    <t>OPTIMISTIC
DOE 2030 Goals
High Gas Price
12 yr. Battery
Hydroelectric</t>
  </si>
  <si>
    <t>PESSIMISTIC
ANL 2015 Costs
Low Gas Price
6 yr. Battery
Coal Electricity</t>
  </si>
  <si>
    <t>BASE CASE
U.S. Avg. 
Grid Mix</t>
  </si>
  <si>
    <t>OPTIMISTIC
Zero-Emission
Power Plant</t>
  </si>
  <si>
    <t>Tax Credit: Up to $7500 per vehicle for up to 200,000 vehicles</t>
  </si>
  <si>
    <t>Max tax credit</t>
  </si>
  <si>
    <t># HEVs purchased</t>
  </si>
  <si>
    <t>Damages reduced</t>
  </si>
  <si>
    <t># PHEV20s purchased</t>
  </si>
  <si>
    <t># PHEV60s purchased</t>
  </si>
  <si>
    <t># BEV240s purchased</t>
  </si>
  <si>
    <t>Pay for life cost</t>
  </si>
  <si>
    <r>
      <t xml:space="preserve">Pay for </t>
    </r>
    <r>
      <rPr>
        <sz val="10"/>
        <color theme="1"/>
        <rFont val="Calibri"/>
        <family val="2"/>
      </rPr>
      <t>Δ</t>
    </r>
    <r>
      <rPr>
        <sz val="10"/>
        <color theme="1"/>
        <rFont val="Calibri"/>
        <family val="2"/>
        <scheme val="minor"/>
      </rPr>
      <t xml:space="preserve"> purch.</t>
    </r>
  </si>
  <si>
    <t>GHGs saved</t>
  </si>
  <si>
    <t>$/mtCO2e</t>
  </si>
  <si>
    <t>Oil</t>
  </si>
  <si>
    <t>Oil Monopsony Premium</t>
  </si>
  <si>
    <t>Oil Security Spending</t>
  </si>
  <si>
    <t>Oil Disruption Risk Premium</t>
  </si>
  <si>
    <t>Gasoline Consumption Military Spending Scenarios ($/gal)</t>
  </si>
  <si>
    <t>Gasoline Consumption Disruption Externality Scenarios ($/gal)</t>
  </si>
  <si>
    <t>Gasoline Consumption Monopsony Scenarios ($/gal)</t>
  </si>
  <si>
    <t>Leiby low (monopsony)</t>
  </si>
  <si>
    <t>Leiby mid (monopsony)</t>
  </si>
  <si>
    <t>Leiby high (monopsony)</t>
  </si>
  <si>
    <t>RAND low (avg cost per bbl)</t>
  </si>
  <si>
    <t>RAND high (avg cost per bbl)</t>
  </si>
  <si>
    <t>Military</t>
  </si>
  <si>
    <t>Disruption</t>
  </si>
  <si>
    <t>Air Emissions Damages</t>
  </si>
  <si>
    <t>Replacement Battery</t>
  </si>
  <si>
    <t>Oil Military Cases</t>
  </si>
  <si>
    <t>Oil Monop-sony Cases</t>
  </si>
  <si>
    <t>ICE</t>
  </si>
  <si>
    <t>PHEV30</t>
  </si>
  <si>
    <t>Lifetime oil change cost</t>
  </si>
  <si>
    <t>Lifetime air filter replacement costs</t>
  </si>
  <si>
    <t>Lifetime spark plug replacement costs</t>
  </si>
  <si>
    <t>Lifetime timing chain adjustment costs</t>
  </si>
  <si>
    <t>Lifetime front brake replacement costs</t>
  </si>
  <si>
    <t>Additional scheduled maintenance costs</t>
  </si>
  <si>
    <t>BEV*</t>
  </si>
  <si>
    <t>* extrapolated</t>
  </si>
  <si>
    <t>Equipment</t>
  </si>
  <si>
    <t>Installation</t>
  </si>
  <si>
    <t>Base Vehicle</t>
  </si>
  <si>
    <t>Initial Battery</t>
  </si>
  <si>
    <t>Oil Premium</t>
  </si>
  <si>
    <t>Estimated Lifetime Scheduled Maintenance Costs</t>
  </si>
  <si>
    <t>Estimated Charger Costs</t>
  </si>
  <si>
    <t>Charger Cost</t>
  </si>
  <si>
    <t>Scheduled Maintenance</t>
  </si>
  <si>
    <t>Electricity</t>
  </si>
  <si>
    <t>From ORNL PHEV Value Proposition Study with 0% discount rate:</t>
  </si>
  <si>
    <t>Simple simulated n% discount rate (selected in main page)</t>
  </si>
  <si>
    <t>Leiby low (disruption)</t>
  </si>
  <si>
    <t>Leiby mid (disruption)</t>
  </si>
  <si>
    <t>Leiby high (disruption)</t>
  </si>
  <si>
    <t>Brown low (disruption)</t>
  </si>
  <si>
    <t>Brown mid (disruption)</t>
  </si>
  <si>
    <t>Brown high (disruption)</t>
  </si>
  <si>
    <t>NPV of Vehicle-Use-Related Electricity Damages ($/vehicle)</t>
  </si>
  <si>
    <t>NPV of Vehicle Tailpipe Damages ($/vehicle)</t>
  </si>
  <si>
    <t>NPV of Damages</t>
  </si>
  <si>
    <t>National Household Travel Survey</t>
  </si>
  <si>
    <t>NPV of Total</t>
  </si>
  <si>
    <t>NPV factor for future replacements</t>
  </si>
  <si>
    <t>NPV Air Emissions Externality Damages</t>
  </si>
  <si>
    <t>NPV Oil Premium (U.S.)</t>
  </si>
  <si>
    <t>Net GHGs (CO2eq)</t>
  </si>
  <si>
    <t>Real discount rate (fuel NPV)</t>
  </si>
  <si>
    <t>Present|Annual @ ext. rate</t>
  </si>
  <si>
    <t>mi</t>
  </si>
  <si>
    <t>FOR REFERENCE:</t>
  </si>
  <si>
    <t>CD-mode distance implied by selected scenario</t>
  </si>
  <si>
    <t>Liquefied Refinery Gases</t>
  </si>
  <si>
    <t>Finished Motor Gasoline</t>
  </si>
  <si>
    <t>Finished Aviation Gasoline</t>
  </si>
  <si>
    <t>Kerosene-Type Jet Fuel</t>
  </si>
  <si>
    <t>Kerosene</t>
  </si>
  <si>
    <t>Distillate Fuel Oil</t>
  </si>
  <si>
    <t>Residual Fuel Oil</t>
  </si>
  <si>
    <t>Naphtha for Petrochemical Feedstock Use</t>
  </si>
  <si>
    <t>Other Oils for Petrochemical Feedstock Use</t>
  </si>
  <si>
    <t>Special Naphthas</t>
  </si>
  <si>
    <t>Lubricants</t>
  </si>
  <si>
    <t>Waxes</t>
  </si>
  <si>
    <t>Petroleum Coke</t>
  </si>
  <si>
    <t>Asphalt and Road Oil</t>
  </si>
  <si>
    <t>Still Gas</t>
  </si>
  <si>
    <t>Miscellaneous Products</t>
  </si>
  <si>
    <t>Mass</t>
  </si>
  <si>
    <t>Volume</t>
  </si>
  <si>
    <t>Fraction of Output</t>
  </si>
  <si>
    <t>Volumetric Yield (bbl output / 
bbl oil input)</t>
  </si>
  <si>
    <t>Volumetric Yield (gal output / 
bbl oil input)</t>
  </si>
  <si>
    <r>
      <rPr>
        <b/>
        <sz val="11"/>
        <color theme="1"/>
        <rFont val="Calibri"/>
        <family val="2"/>
      </rPr>
      <t>¢</t>
    </r>
    <r>
      <rPr>
        <b/>
        <sz val="11"/>
        <color theme="1"/>
        <rFont val="Calibri"/>
        <family val="2"/>
        <scheme val="minor"/>
      </rPr>
      <t>/gal output per 
$/bbl oil input</t>
    </r>
  </si>
  <si>
    <t>Scheduled Mainten-ance Cost</t>
  </si>
  <si>
    <t>PHEV</t>
  </si>
  <si>
    <t>Base case assumes only half of PHEV20 drivers need to install a new line because existing level-1 is sufficient for PHEV20.</t>
  </si>
  <si>
    <t>BASE CASE
ANL 2015 Costs
Avg. Gas Price
12 yr. Battery
Avg. Grid</t>
  </si>
  <si>
    <t>Discount 
Rate Cases</t>
  </si>
  <si>
    <t>Oil Disrup-
tion Cases</t>
  </si>
  <si>
    <t>Mfg. Upst- ream Cases</t>
  </si>
  <si>
    <t>Elec. Upst- ream Cases</t>
  </si>
  <si>
    <t>Oil Upst-
ream Cases</t>
  </si>
  <si>
    <t>Electricity 
Price Cases</t>
  </si>
  <si>
    <t>EV</t>
  </si>
  <si>
    <t>$2007/mi</t>
  </si>
  <si>
    <t>base year</t>
  </si>
  <si>
    <t>$/yr</t>
  </si>
  <si>
    <t>NPV</t>
  </si>
  <si>
    <t>Noise Costs</t>
  </si>
  <si>
    <t>Water Costs</t>
  </si>
  <si>
    <t>air only</t>
  </si>
  <si>
    <t>Increase</t>
  </si>
  <si>
    <t>Unclear</t>
  </si>
  <si>
    <t>L&amp;D Kromer Heywood 2007 Base</t>
  </si>
  <si>
    <t>L&amp;D Kromer Heywood 2007 Opt</t>
  </si>
  <si>
    <t>L&amp;D Thomas 2009</t>
  </si>
  <si>
    <t>Lipman and Delucchi 2001</t>
  </si>
  <si>
    <t>L&amp;D Vyas 1998</t>
  </si>
  <si>
    <t>L&amp;D Simpson 2006</t>
  </si>
  <si>
    <t>EPRI 2001</t>
  </si>
  <si>
    <t>EPRI 2004</t>
  </si>
  <si>
    <t>Lipman and Delucchi 2003</t>
  </si>
  <si>
    <t>U.S. DOE 2008</t>
  </si>
  <si>
    <t>Reference:</t>
  </si>
  <si>
    <t>Lifetime maintenance cost (Lipman and Delucchi, 2010)</t>
  </si>
  <si>
    <t>L&amp;D Offer 2010 driveline only</t>
  </si>
  <si>
    <t>L&amp;D Offer 2010 driveline only low</t>
  </si>
  <si>
    <t>L&amp;D Offer 2010 driveline only high</t>
  </si>
  <si>
    <t>L&amp;D Offer 2010 driveline only avg</t>
  </si>
  <si>
    <t>L&amp;D10</t>
  </si>
  <si>
    <t>Lipman and Delucchi (2010) "Lifetime Cost of Battery, Fuel-Cell, and Plug-in Hybrid Electric Vehicles," in Electric and Hybrod Vehicles - Power Sources, Models, Sustainability, Infrastructure, and the Market, Edited by G. Pistoia, Elsevier, 2010.</t>
  </si>
  <si>
    <t>ORNL10</t>
  </si>
  <si>
    <t>Delucchi</t>
  </si>
  <si>
    <t>Oil Spills ($/gal) - Not used, just for reference</t>
  </si>
  <si>
    <t>Over the life of a CV:</t>
  </si>
  <si>
    <t>Oil Refining
Cases</t>
  </si>
  <si>
    <t>Oil Upstream
Cases</t>
  </si>
  <si>
    <t>Oil Sources
Cases</t>
  </si>
  <si>
    <t>Assembly
Cases</t>
  </si>
  <si>
    <t>Manufacturing
Upstream Cases</t>
  </si>
  <si>
    <t>Electricity 
Upstream Cases</t>
  </si>
  <si>
    <t>Manufacturing
Electricity Cases</t>
  </si>
  <si>
    <t>Vehicle Data
Cases</t>
  </si>
  <si>
    <t>Li-ion Battery
Life Cases</t>
  </si>
  <si>
    <t>Driving Location Cases</t>
  </si>
  <si>
    <t>GHG Value
Cases</t>
  </si>
  <si>
    <t>Oil Disruption
Cases</t>
  </si>
  <si>
    <t>Oil Monopsony
Cases</t>
  </si>
  <si>
    <t>Oil Military
Cases</t>
  </si>
  <si>
    <t>ARRA Tax Subsidy Analysis</t>
  </si>
  <si>
    <t>Externality fee discount rate</t>
  </si>
  <si>
    <t>Oil Data (see Valuation tab for summary of valuation cases)</t>
  </si>
  <si>
    <t>Allocation of Oil Premium to Gasoline Co-Product</t>
  </si>
  <si>
    <t>mtCO2eq per mt CH4 (100-year equivalence)</t>
  </si>
  <si>
    <t>mtCO2eq per mt N2O (100 year equivalence)</t>
  </si>
  <si>
    <t>INPUT: Model Parameters and Scenarios</t>
  </si>
  <si>
    <t>OUTPUT: Summary of Externaltiy Costs and Oil Premium for Each Vehicle</t>
  </si>
  <si>
    <t>OUTPUT: Graphs</t>
  </si>
  <si>
    <t>OUTPUT: Sensitivity Analysis</t>
  </si>
  <si>
    <t>Scenario Selection (Drop-down list for each)</t>
  </si>
  <si>
    <t>www.pnas.org/cgi/doi/10/1073/pnas/1104473108</t>
  </si>
  <si>
    <t>This workbook contains the data and model for:</t>
  </si>
  <si>
    <t>The model estimates life cycle air emissions and oil consumption for a conventional vehicle (CV), hybrid electric vehicle (HEV), plug-in hybrid electric vehicles (PHEV) sized for 20km (PHEV20) or 60km (PHEV60) of electrical storage, and a battery electric vehicle (BEV) sized for 240km of electrical storage (BEV240). The model then computes estimated economic value of the externalities associated with air emissions and the premium associated with oil consumption. Finally, the model combines these air emission externality and oil premium costs with estimates of vehicle lifetime ownership costs. See paper for details of data sources and methodology.</t>
  </si>
  <si>
    <t>Figures for Main Text</t>
  </si>
  <si>
    <t>Damages reduced (Millions)</t>
  </si>
  <si>
    <t># Purchase Premium (Thousands)</t>
  </si>
  <si>
    <t>The SUMMARY tab contains the primary model input and output. Scenarios can be changed using the drop-down menus provided (top left). Results for the selected scenario and a variety of sensitivity cases are summaized to the right.</t>
  </si>
  <si>
    <r>
      <t xml:space="preserve">Michalek, J., M. Chester, P. Jaramillo, C. Samaras, C.-S. N. Shiau, and L.B. Lave (2011) "Valuation of plug-in vehicle life cycle air emissions and oil displacement benefits," </t>
    </r>
    <r>
      <rPr>
        <b/>
        <i/>
        <sz val="18"/>
        <color theme="0"/>
        <rFont val="Palatino Linotype"/>
        <family val="1"/>
      </rPr>
      <t>Proceedings of the National Academy of Sciences</t>
    </r>
    <r>
      <rPr>
        <b/>
        <sz val="18"/>
        <color theme="0"/>
        <rFont val="Palatino Linotype"/>
        <family val="1"/>
      </rPr>
      <t>, in press</t>
    </r>
  </si>
  <si>
    <t>ARRA Tax Credit</t>
  </si>
  <si>
    <t>Bat Size (kWh)</t>
  </si>
  <si>
    <t>Air Emissions Externality and Oil Premium Savings</t>
  </si>
  <si>
    <t>Tax Credit</t>
  </si>
  <si>
    <t>Benefits Low</t>
  </si>
  <si>
    <t>Benefits High</t>
  </si>
  <si>
    <t>ErrorLow</t>
  </si>
  <si>
    <t>ErrorHigh</t>
  </si>
  <si>
    <t>Benefits</t>
  </si>
  <si>
    <t>Value of benefits over conventional (air emissions externalities and oil premium)</t>
  </si>
  <si>
    <t>Federal Tax Credit (American Recovery and Reinvestment Act 2009)</t>
  </si>
</sst>
</file>

<file path=xl/styles.xml><?xml version="1.0" encoding="utf-8"?>
<styleSheet xmlns="http://schemas.openxmlformats.org/spreadsheetml/2006/main">
  <numFmts count="17">
    <numFmt numFmtId="6" formatCode="&quot;$&quot;#,##0_);[Red]\(&quot;$&quot;#,##0\)"/>
    <numFmt numFmtId="8" formatCode="&quot;$&quot;#,##0.00_);[Red]\(&quot;$&quot;#,##0.00\)"/>
    <numFmt numFmtId="164" formatCode="&quot;$&quot;#,##0"/>
    <numFmt numFmtId="165" formatCode="0.0%"/>
    <numFmt numFmtId="166" formatCode="0.0"/>
    <numFmt numFmtId="167" formatCode="0.000"/>
    <numFmt numFmtId="168" formatCode="0.0000"/>
    <numFmt numFmtId="169" formatCode="&quot;$&quot;#,##0.00"/>
    <numFmt numFmtId="170" formatCode="mmm\ dd\,\ yyyy"/>
    <numFmt numFmtId="171" formatCode="&quot;$&quot;#,##0.000"/>
    <numFmt numFmtId="172" formatCode="0.0E+00"/>
    <numFmt numFmtId="173" formatCode="#,##0.0000_);[Red]\(#,##0.0000\)"/>
    <numFmt numFmtId="174" formatCode="#,##0.0000"/>
    <numFmt numFmtId="175" formatCode="0.0000000000000"/>
    <numFmt numFmtId="176" formatCode="&quot;$&quot;###0"/>
    <numFmt numFmtId="177" formatCode="#,##0.0_);[Red]\(#,##0.0\)"/>
    <numFmt numFmtId="178" formatCode="&quot;$&quot;#,##0.000_);[Red]\(&quot;$&quot;#,##0.000\)"/>
  </numFmts>
  <fonts count="78">
    <font>
      <sz val="11"/>
      <color theme="1"/>
      <name val="Calibri"/>
      <family val="2"/>
      <scheme val="minor"/>
    </font>
    <font>
      <sz val="10"/>
      <color theme="1"/>
      <name val="Calibri"/>
      <family val="2"/>
      <scheme val="minor"/>
    </font>
    <font>
      <b/>
      <sz val="10"/>
      <color theme="1"/>
      <name val="Calibri"/>
      <family val="2"/>
      <scheme val="minor"/>
    </font>
    <font>
      <sz val="9"/>
      <color indexed="81"/>
      <name val="Tahoma"/>
      <family val="2"/>
    </font>
    <font>
      <b/>
      <sz val="9"/>
      <color indexed="81"/>
      <name val="Tahoma"/>
      <family val="2"/>
    </font>
    <font>
      <b/>
      <sz val="11"/>
      <color theme="0"/>
      <name val="Calibri"/>
      <family val="2"/>
      <scheme val="minor"/>
    </font>
    <font>
      <b/>
      <sz val="10"/>
      <color theme="0"/>
      <name val="Calibri"/>
      <family val="2"/>
      <scheme val="minor"/>
    </font>
    <font>
      <b/>
      <sz val="14"/>
      <color theme="1"/>
      <name val="Calibri"/>
      <family val="2"/>
      <scheme val="minor"/>
    </font>
    <font>
      <sz val="10"/>
      <name val="Calibri"/>
      <family val="2"/>
      <scheme val="minor"/>
    </font>
    <font>
      <sz val="11"/>
      <name val="Calibri"/>
      <family val="2"/>
      <scheme val="minor"/>
    </font>
    <font>
      <sz val="11"/>
      <color theme="1"/>
      <name val="Calibri"/>
      <family val="2"/>
      <scheme val="minor"/>
    </font>
    <font>
      <u/>
      <sz val="11"/>
      <color theme="10"/>
      <name val="Calibri"/>
      <family val="2"/>
    </font>
    <font>
      <sz val="11"/>
      <color theme="1"/>
      <name val="Calibri"/>
      <family val="2"/>
    </font>
    <font>
      <b/>
      <sz val="11"/>
      <color theme="1"/>
      <name val="Calibri"/>
      <family val="2"/>
    </font>
    <font>
      <b/>
      <sz val="10"/>
      <name val="Calibri"/>
      <family val="2"/>
      <scheme val="minor"/>
    </font>
    <font>
      <b/>
      <sz val="11"/>
      <color theme="1"/>
      <name val="Calibri"/>
      <family val="2"/>
      <scheme val="minor"/>
    </font>
    <font>
      <sz val="10"/>
      <name val="Arial"/>
      <family val="2"/>
    </font>
    <font>
      <b/>
      <sz val="22"/>
      <color theme="1"/>
      <name val="Calibri"/>
      <family val="2"/>
      <scheme val="minor"/>
    </font>
    <font>
      <sz val="11"/>
      <color rgb="FFFF0000"/>
      <name val="Calibri"/>
      <family val="2"/>
      <scheme val="minor"/>
    </font>
    <font>
      <sz val="11"/>
      <color theme="0"/>
      <name val="Calibri"/>
      <family val="2"/>
      <scheme val="minor"/>
    </font>
    <font>
      <b/>
      <i/>
      <sz val="10"/>
      <color theme="1"/>
      <name val="Calibri"/>
      <family val="2"/>
      <scheme val="minor"/>
    </font>
    <font>
      <b/>
      <sz val="20"/>
      <color theme="1"/>
      <name val="Calibri"/>
      <family val="2"/>
      <scheme val="minor"/>
    </font>
    <font>
      <b/>
      <sz val="18"/>
      <color theme="1"/>
      <name val="Calibri"/>
      <family val="2"/>
      <scheme val="minor"/>
    </font>
    <font>
      <b/>
      <sz val="11"/>
      <name val="Calibri"/>
      <family val="2"/>
      <scheme val="minor"/>
    </font>
    <font>
      <b/>
      <sz val="22"/>
      <color theme="1"/>
      <name val="Calibri"/>
      <family val="2"/>
    </font>
    <font>
      <b/>
      <sz val="14"/>
      <color theme="1"/>
      <name val="Calibri"/>
      <family val="2"/>
    </font>
    <font>
      <sz val="8"/>
      <color indexed="81"/>
      <name val="Tahoma"/>
      <family val="2"/>
    </font>
    <font>
      <b/>
      <sz val="8"/>
      <color indexed="81"/>
      <name val="Tahoma"/>
      <family val="2"/>
    </font>
    <font>
      <b/>
      <sz val="10"/>
      <color indexed="81"/>
      <name val="Tahoma"/>
      <family val="2"/>
    </font>
    <font>
      <sz val="10"/>
      <color indexed="81"/>
      <name val="Tahoma"/>
      <family val="2"/>
    </font>
    <font>
      <b/>
      <sz val="10"/>
      <color theme="1"/>
      <name val="Calibri"/>
      <family val="2"/>
    </font>
    <font>
      <b/>
      <sz val="10"/>
      <color theme="3"/>
      <name val="Calibri"/>
      <family val="2"/>
      <scheme val="minor"/>
    </font>
    <font>
      <b/>
      <sz val="11"/>
      <color theme="0" tint="-0.499984740745262"/>
      <name val="Calibri"/>
      <family val="2"/>
      <scheme val="minor"/>
    </font>
    <font>
      <sz val="11"/>
      <color theme="0" tint="-0.499984740745262"/>
      <name val="Calibri"/>
      <family val="2"/>
      <scheme val="minor"/>
    </font>
    <font>
      <b/>
      <sz val="20"/>
      <name val="Calibri"/>
      <family val="2"/>
      <scheme val="minor"/>
    </font>
    <font>
      <b/>
      <sz val="20"/>
      <color indexed="8"/>
      <name val="Calibri"/>
      <family val="2"/>
    </font>
    <font>
      <sz val="10"/>
      <color indexed="8"/>
      <name val="Calibri"/>
      <family val="2"/>
    </font>
    <font>
      <b/>
      <sz val="10"/>
      <color indexed="8"/>
      <name val="Calibri"/>
      <family val="2"/>
    </font>
    <font>
      <b/>
      <sz val="11"/>
      <name val="Calibri"/>
      <family val="2"/>
    </font>
    <font>
      <sz val="11"/>
      <name val="Calibri"/>
      <family val="2"/>
    </font>
    <font>
      <i/>
      <sz val="11"/>
      <name val="Calibri"/>
      <family val="2"/>
    </font>
    <font>
      <i/>
      <sz val="11"/>
      <color indexed="23"/>
      <name val="Calibri"/>
      <family val="2"/>
    </font>
    <font>
      <sz val="11"/>
      <color indexed="23"/>
      <name val="Calibri"/>
      <family val="2"/>
    </font>
    <font>
      <sz val="11"/>
      <color indexed="8"/>
      <name val="Calibri"/>
      <family val="2"/>
    </font>
    <font>
      <b/>
      <sz val="9"/>
      <color indexed="81"/>
      <name val="Calibri"/>
      <family val="2"/>
    </font>
    <font>
      <sz val="9"/>
      <color indexed="81"/>
      <name val="Calibri"/>
      <family val="2"/>
    </font>
    <font>
      <sz val="9"/>
      <name val="Arial"/>
      <family val="2"/>
    </font>
    <font>
      <i/>
      <sz val="9"/>
      <name val="Arial"/>
      <family val="2"/>
    </font>
    <font>
      <b/>
      <sz val="9"/>
      <name val="Arial"/>
      <family val="2"/>
    </font>
    <font>
      <vertAlign val="superscript"/>
      <sz val="9"/>
      <name val="Arial"/>
      <family val="2"/>
    </font>
    <font>
      <i/>
      <sz val="10"/>
      <name val="Arial"/>
      <family val="2"/>
    </font>
    <font>
      <b/>
      <sz val="10"/>
      <name val="Arial"/>
      <family val="2"/>
    </font>
    <font>
      <vertAlign val="superscript"/>
      <sz val="10"/>
      <name val="Arial"/>
      <family val="2"/>
    </font>
    <font>
      <sz val="11"/>
      <color rgb="FF0000FF"/>
      <name val="Calibri"/>
      <family val="2"/>
      <scheme val="minor"/>
    </font>
    <font>
      <sz val="11"/>
      <color rgb="FF0033CC"/>
      <name val="Calibri"/>
      <family val="2"/>
      <scheme val="minor"/>
    </font>
    <font>
      <sz val="11"/>
      <color theme="3" tint="0.39997558519241921"/>
      <name val="Calibri"/>
      <family val="2"/>
      <scheme val="minor"/>
    </font>
    <font>
      <sz val="11"/>
      <color rgb="FFC00000"/>
      <name val="Calibri"/>
      <family val="2"/>
      <scheme val="minor"/>
    </font>
    <font>
      <b/>
      <sz val="22"/>
      <name val="Calibri"/>
      <family val="2"/>
      <scheme val="minor"/>
    </font>
    <font>
      <b/>
      <sz val="16"/>
      <name val="Calibri"/>
      <family val="2"/>
      <scheme val="minor"/>
    </font>
    <font>
      <b/>
      <sz val="14"/>
      <name val="Calibri"/>
      <family val="2"/>
      <scheme val="minor"/>
    </font>
    <font>
      <b/>
      <sz val="11"/>
      <color indexed="8"/>
      <name val="Calibri"/>
      <family val="2"/>
    </font>
    <font>
      <b/>
      <sz val="16"/>
      <color theme="1"/>
      <name val="Calibri"/>
      <family val="2"/>
      <scheme val="minor"/>
    </font>
    <font>
      <b/>
      <sz val="11"/>
      <color rgb="FFC00000"/>
      <name val="Calibri"/>
      <family val="2"/>
      <scheme val="minor"/>
    </font>
    <font>
      <b/>
      <sz val="8"/>
      <name val="Calibri"/>
      <family val="2"/>
      <scheme val="minor"/>
    </font>
    <font>
      <sz val="8"/>
      <name val="Calibri"/>
      <family val="2"/>
      <scheme val="minor"/>
    </font>
    <font>
      <sz val="10"/>
      <color theme="1"/>
      <name val="Garamond"/>
      <family val="1"/>
    </font>
    <font>
      <sz val="10"/>
      <color theme="1"/>
      <name val="Calibri"/>
      <family val="2"/>
    </font>
    <font>
      <sz val="11"/>
      <color theme="7"/>
      <name val="Calibri"/>
      <family val="2"/>
      <scheme val="minor"/>
    </font>
    <font>
      <sz val="11"/>
      <color theme="7" tint="0.59999389629810485"/>
      <name val="Calibri"/>
      <family val="2"/>
      <scheme val="minor"/>
    </font>
    <font>
      <sz val="10"/>
      <color theme="1" tint="0.499984740745262"/>
      <name val="Calibri"/>
      <family val="2"/>
      <scheme val="minor"/>
    </font>
    <font>
      <b/>
      <sz val="10"/>
      <color theme="1" tint="0.499984740745262"/>
      <name val="Calibri"/>
      <family val="2"/>
      <scheme val="minor"/>
    </font>
    <font>
      <sz val="10"/>
      <color theme="0" tint="-0.34998626667073579"/>
      <name val="Calibri"/>
      <family val="2"/>
      <scheme val="minor"/>
    </font>
    <font>
      <sz val="10"/>
      <color theme="1"/>
      <name val="Palatino Linotype"/>
      <family val="1"/>
    </font>
    <font>
      <b/>
      <sz val="18"/>
      <color theme="0"/>
      <name val="Palatino Linotype"/>
      <family val="1"/>
    </font>
    <font>
      <sz val="18"/>
      <name val="Palatino Linotype"/>
      <family val="1"/>
    </font>
    <font>
      <b/>
      <i/>
      <sz val="18"/>
      <color theme="0"/>
      <name val="Palatino Linotype"/>
      <family val="1"/>
    </font>
    <font>
      <b/>
      <u/>
      <sz val="10"/>
      <color theme="0"/>
      <name val="Palatino Linotype"/>
      <family val="1"/>
    </font>
    <font>
      <sz val="11"/>
      <color theme="1"/>
      <name val="Palatino Linotype"/>
      <family val="1"/>
    </font>
  </fonts>
  <fills count="12">
    <fill>
      <patternFill patternType="none"/>
    </fill>
    <fill>
      <patternFill patternType="gray125"/>
    </fill>
    <fill>
      <patternFill patternType="solid">
        <fgColor theme="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indexed="13"/>
        <bgColor indexed="64"/>
      </patternFill>
    </fill>
    <fill>
      <patternFill patternType="solid">
        <fgColor theme="9" tint="0.59999389629810485"/>
        <bgColor indexed="64"/>
      </patternFill>
    </fill>
    <fill>
      <patternFill patternType="solid">
        <fgColor theme="0"/>
        <bgColor indexed="64"/>
      </patternFill>
    </fill>
  </fills>
  <borders count="41">
    <border>
      <left/>
      <right/>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thin">
        <color theme="0"/>
      </top>
      <bottom/>
      <diagonal/>
    </border>
    <border>
      <left/>
      <right/>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0"/>
      </right>
      <top/>
      <bottom/>
      <diagonal/>
    </border>
    <border>
      <left/>
      <right style="thin">
        <color theme="0"/>
      </right>
      <top/>
      <bottom style="thin">
        <color theme="0"/>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s>
  <cellStyleXfs count="8">
    <xf numFmtId="0" fontId="0" fillId="0" borderId="0"/>
    <xf numFmtId="9" fontId="10" fillId="0" borderId="0" applyFont="0" applyFill="0" applyBorder="0" applyAlignment="0" applyProtection="0"/>
    <xf numFmtId="0" fontId="11" fillId="0" borderId="0" applyNumberFormat="0" applyFill="0" applyBorder="0" applyAlignment="0" applyProtection="0">
      <alignment vertical="top"/>
      <protection locked="0"/>
    </xf>
    <xf numFmtId="0" fontId="16" fillId="0" borderId="7"/>
    <xf numFmtId="0" fontId="16" fillId="0" borderId="0"/>
    <xf numFmtId="0" fontId="16" fillId="0" borderId="0"/>
    <xf numFmtId="0" fontId="43" fillId="0" borderId="0"/>
    <xf numFmtId="9" fontId="43" fillId="0" borderId="0" applyFont="0" applyFill="0" applyBorder="0" applyAlignment="0" applyProtection="0"/>
  </cellStyleXfs>
  <cellXfs count="973">
    <xf numFmtId="0" fontId="0" fillId="0" borderId="0" xfId="0"/>
    <xf numFmtId="0" fontId="1" fillId="0" borderId="0" xfId="0" applyFont="1"/>
    <xf numFmtId="0" fontId="2" fillId="0" borderId="0" xfId="0" applyFont="1" applyAlignment="1">
      <alignment horizontal="center"/>
    </xf>
    <xf numFmtId="0" fontId="2" fillId="0" borderId="0" xfId="0" applyFont="1"/>
    <xf numFmtId="0" fontId="1" fillId="0" borderId="0" xfId="0" applyFont="1" applyBorder="1"/>
    <xf numFmtId="0" fontId="7" fillId="0" borderId="2" xfId="0" applyFont="1" applyBorder="1"/>
    <xf numFmtId="0" fontId="1" fillId="0" borderId="2" xfId="0" applyFont="1" applyBorder="1"/>
    <xf numFmtId="0" fontId="1" fillId="0" borderId="3" xfId="0" applyFont="1" applyBorder="1"/>
    <xf numFmtId="0" fontId="1" fillId="0" borderId="1" xfId="0" applyFont="1" applyBorder="1"/>
    <xf numFmtId="1" fontId="6" fillId="2" borderId="0" xfId="0" applyNumberFormat="1" applyFont="1" applyFill="1" applyAlignment="1">
      <alignment horizontal="center"/>
    </xf>
    <xf numFmtId="165" fontId="6" fillId="2" borderId="0" xfId="0" applyNumberFormat="1" applyFont="1" applyFill="1" applyAlignment="1">
      <alignment horizontal="center"/>
    </xf>
    <xf numFmtId="0" fontId="13" fillId="0" borderId="0" xfId="0" applyFont="1" applyBorder="1" applyAlignment="1">
      <alignment horizontal="center" wrapText="1"/>
    </xf>
    <xf numFmtId="0" fontId="13" fillId="0" borderId="2" xfId="0" applyFont="1" applyBorder="1" applyAlignment="1">
      <alignment horizontal="center" wrapText="1"/>
    </xf>
    <xf numFmtId="0" fontId="12" fillId="0" borderId="0" xfId="0" applyFont="1" applyBorder="1" applyAlignment="1">
      <alignment horizontal="center"/>
    </xf>
    <xf numFmtId="0" fontId="12" fillId="0" borderId="2" xfId="0" applyFont="1" applyBorder="1" applyAlignment="1">
      <alignment horizontal="center"/>
    </xf>
    <xf numFmtId="167" fontId="12" fillId="0" borderId="0" xfId="0" applyNumberFormat="1" applyFont="1" applyBorder="1" applyAlignment="1">
      <alignment horizontal="center"/>
    </xf>
    <xf numFmtId="0" fontId="12" fillId="0" borderId="0" xfId="0" applyFont="1" applyBorder="1" applyAlignment="1">
      <alignment horizontal="center" wrapText="1"/>
    </xf>
    <xf numFmtId="165" fontId="12" fillId="0" borderId="0" xfId="1" applyNumberFormat="1" applyFont="1" applyBorder="1" applyAlignment="1">
      <alignment horizontal="center"/>
    </xf>
    <xf numFmtId="0" fontId="15" fillId="0" borderId="0" xfId="0" applyFont="1"/>
    <xf numFmtId="0" fontId="15" fillId="0" borderId="0" xfId="0" applyFont="1" applyAlignment="1">
      <alignment horizontal="center"/>
    </xf>
    <xf numFmtId="164" fontId="1" fillId="0" borderId="0" xfId="0" applyNumberFormat="1" applyFont="1" applyBorder="1"/>
    <xf numFmtId="0" fontId="2" fillId="0" borderId="0" xfId="0" applyFont="1" applyBorder="1"/>
    <xf numFmtId="164" fontId="2" fillId="0" borderId="0" xfId="0" applyNumberFormat="1" applyFont="1" applyBorder="1"/>
    <xf numFmtId="0" fontId="2" fillId="0" borderId="8" xfId="0" applyFont="1" applyBorder="1" applyAlignment="1">
      <alignment horizontal="center"/>
    </xf>
    <xf numFmtId="0" fontId="1" fillId="0" borderId="8" xfId="0" applyFont="1" applyBorder="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1" fillId="0" borderId="5" xfId="0" applyFont="1" applyBorder="1" applyAlignment="1">
      <alignment horizontal="center"/>
    </xf>
    <xf numFmtId="164" fontId="1" fillId="0" borderId="5" xfId="0" applyNumberFormat="1" applyFont="1" applyBorder="1" applyAlignment="1">
      <alignment horizontal="center"/>
    </xf>
    <xf numFmtId="0" fontId="2" fillId="0" borderId="4" xfId="0" applyFont="1" applyBorder="1" applyAlignment="1">
      <alignment horizontal="center"/>
    </xf>
    <xf numFmtId="164" fontId="2" fillId="0" borderId="4" xfId="0" applyNumberFormat="1" applyFont="1" applyBorder="1" applyAlignment="1">
      <alignment horizontal="center"/>
    </xf>
    <xf numFmtId="0" fontId="1" fillId="0" borderId="0" xfId="0" applyFont="1" applyBorder="1" applyAlignment="1">
      <alignment horizontal="center"/>
    </xf>
    <xf numFmtId="164" fontId="1" fillId="0" borderId="0" xfId="0" applyNumberFormat="1" applyFont="1" applyBorder="1" applyAlignment="1">
      <alignment horizontal="center"/>
    </xf>
    <xf numFmtId="0" fontId="19" fillId="2" borderId="0" xfId="0" applyFont="1" applyFill="1"/>
    <xf numFmtId="0" fontId="14" fillId="0" borderId="0" xfId="0" applyFont="1" applyFill="1" applyBorder="1"/>
    <xf numFmtId="0" fontId="8" fillId="0" borderId="0" xfId="0" applyFont="1" applyFill="1" applyBorder="1"/>
    <xf numFmtId="0" fontId="14" fillId="3" borderId="2" xfId="0" applyFont="1" applyFill="1" applyBorder="1" applyAlignment="1">
      <alignment horizontal="center"/>
    </xf>
    <xf numFmtId="169" fontId="0" fillId="0" borderId="0" xfId="0" applyNumberFormat="1"/>
    <xf numFmtId="0" fontId="15" fillId="0" borderId="2" xfId="0" applyFont="1" applyBorder="1"/>
    <xf numFmtId="0" fontId="0" fillId="0" borderId="2" xfId="0" applyBorder="1"/>
    <xf numFmtId="169" fontId="15" fillId="0" borderId="2" xfId="0" applyNumberFormat="1" applyFont="1" applyBorder="1"/>
    <xf numFmtId="169" fontId="0" fillId="0" borderId="2" xfId="0" applyNumberFormat="1" applyBorder="1"/>
    <xf numFmtId="169" fontId="19" fillId="2" borderId="0" xfId="0" applyNumberFormat="1" applyFont="1" applyFill="1"/>
    <xf numFmtId="169" fontId="0" fillId="0" borderId="0" xfId="0" applyNumberFormat="1" applyAlignment="1">
      <alignment horizontal="center"/>
    </xf>
    <xf numFmtId="0" fontId="5" fillId="2" borderId="0" xfId="0" applyFont="1" applyFill="1" applyAlignment="1">
      <alignment horizontal="center"/>
    </xf>
    <xf numFmtId="169" fontId="5" fillId="2" borderId="0" xfId="0" applyNumberFormat="1" applyFont="1" applyFill="1" applyAlignment="1">
      <alignment horizontal="center"/>
    </xf>
    <xf numFmtId="0" fontId="14" fillId="0" borderId="2" xfId="0" applyFont="1" applyFill="1" applyBorder="1" applyAlignment="1">
      <alignment horizontal="center" vertical="center"/>
    </xf>
    <xf numFmtId="0" fontId="14" fillId="4" borderId="2" xfId="0" applyFont="1" applyFill="1" applyBorder="1" applyAlignment="1">
      <alignment horizontal="center" vertical="center"/>
    </xf>
    <xf numFmtId="0" fontId="8" fillId="4" borderId="0" xfId="0" applyFont="1" applyFill="1" applyBorder="1" applyAlignment="1">
      <alignment horizontal="center" vertical="center"/>
    </xf>
    <xf numFmtId="0" fontId="14" fillId="4" borderId="0" xfId="0" applyFont="1" applyFill="1" applyBorder="1" applyAlignment="1">
      <alignment horizontal="center" vertical="center"/>
    </xf>
    <xf numFmtId="1" fontId="14" fillId="4" borderId="0" xfId="0" applyNumberFormat="1" applyFont="1" applyFill="1" applyBorder="1" applyAlignment="1">
      <alignment horizontal="center" vertical="center"/>
    </xf>
    <xf numFmtId="0" fontId="2" fillId="0" borderId="2" xfId="0" applyFont="1" applyBorder="1" applyAlignment="1">
      <alignment horizontal="center"/>
    </xf>
    <xf numFmtId="164" fontId="0" fillId="0" borderId="0" xfId="0" applyNumberFormat="1" applyAlignment="1">
      <alignment horizontal="center"/>
    </xf>
    <xf numFmtId="0" fontId="6" fillId="2" borderId="0" xfId="0" applyFont="1" applyFill="1" applyBorder="1" applyAlignment="1">
      <alignment horizontal="center"/>
    </xf>
    <xf numFmtId="164" fontId="5" fillId="2" borderId="0" xfId="0" applyNumberFormat="1" applyFont="1" applyFill="1" applyBorder="1" applyAlignment="1">
      <alignment horizontal="center"/>
    </xf>
    <xf numFmtId="0" fontId="15" fillId="0" borderId="2" xfId="0" applyFont="1" applyBorder="1" applyAlignment="1">
      <alignment horizontal="center"/>
    </xf>
    <xf numFmtId="0" fontId="19" fillId="2" borderId="0" xfId="0" applyFont="1" applyFill="1" applyAlignment="1">
      <alignment horizontal="center"/>
    </xf>
    <xf numFmtId="0" fontId="0" fillId="2" borderId="0" xfId="0" applyFill="1"/>
    <xf numFmtId="0" fontId="21" fillId="0" borderId="0" xfId="0" applyFont="1"/>
    <xf numFmtId="0" fontId="22" fillId="0" borderId="0" xfId="0" applyFont="1"/>
    <xf numFmtId="165" fontId="9" fillId="0" borderId="0" xfId="0" applyNumberFormat="1" applyFont="1" applyFill="1" applyBorder="1" applyAlignment="1">
      <alignment horizontal="center"/>
    </xf>
    <xf numFmtId="0" fontId="9" fillId="0" borderId="0" xfId="0" applyFont="1" applyFill="1" applyBorder="1" applyAlignment="1">
      <alignment horizontal="center"/>
    </xf>
    <xf numFmtId="0" fontId="23" fillId="0" borderId="2" xfId="0" applyFont="1" applyFill="1" applyBorder="1" applyAlignment="1">
      <alignment horizontal="center"/>
    </xf>
    <xf numFmtId="0" fontId="5" fillId="2" borderId="0" xfId="0"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8" fontId="9" fillId="0" borderId="0"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1" fontId="0" fillId="0" borderId="0" xfId="0" applyNumberFormat="1" applyFont="1" applyBorder="1" applyAlignment="1">
      <alignment horizontal="center" vertical="center" wrapText="1"/>
    </xf>
    <xf numFmtId="166" fontId="0" fillId="0" borderId="0" xfId="0" applyNumberFormat="1" applyFont="1" applyBorder="1" applyAlignment="1">
      <alignment horizontal="center" vertical="center" wrapText="1"/>
    </xf>
    <xf numFmtId="168" fontId="0" fillId="0" borderId="0" xfId="0" applyNumberFormat="1" applyFont="1" applyBorder="1" applyAlignment="1">
      <alignment horizontal="center" vertical="center" wrapText="1"/>
    </xf>
    <xf numFmtId="2" fontId="0" fillId="0" borderId="0"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9" fillId="0" borderId="0" xfId="0" applyFont="1" applyFill="1" applyBorder="1" applyAlignment="1">
      <alignment horizontal="center" vertical="center" wrapText="1"/>
    </xf>
    <xf numFmtId="2" fontId="5" fillId="2" borderId="0" xfId="0" applyNumberFormat="1" applyFont="1" applyFill="1" applyBorder="1" applyAlignment="1">
      <alignment horizontal="center" vertical="center" wrapText="1"/>
    </xf>
    <xf numFmtId="1" fontId="5" fillId="2" borderId="0" xfId="0" applyNumberFormat="1" applyFont="1" applyFill="1" applyBorder="1" applyAlignment="1">
      <alignment horizontal="center" vertical="center" wrapText="1"/>
    </xf>
    <xf numFmtId="166" fontId="5" fillId="2" borderId="0" xfId="0" applyNumberFormat="1" applyFont="1" applyFill="1" applyBorder="1" applyAlignment="1">
      <alignment horizontal="center" vertical="center" wrapText="1"/>
    </xf>
    <xf numFmtId="168" fontId="5" fillId="2" borderId="0" xfId="0" applyNumberFormat="1" applyFont="1" applyFill="1" applyBorder="1" applyAlignment="1">
      <alignment horizontal="center" vertical="center" wrapText="1"/>
    </xf>
    <xf numFmtId="168" fontId="5" fillId="2" borderId="5"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0" xfId="0" applyFont="1" applyBorder="1" applyAlignment="1">
      <alignment horizontal="center" vertical="center" wrapText="1"/>
    </xf>
    <xf numFmtId="0" fontId="15" fillId="0" borderId="0" xfId="0" applyFont="1" applyAlignment="1">
      <alignment horizontal="center" vertical="center" wrapText="1"/>
    </xf>
    <xf numFmtId="1" fontId="0" fillId="0" borderId="0" xfId="0" applyNumberFormat="1" applyAlignment="1">
      <alignment horizontal="center" vertical="center" wrapText="1"/>
    </xf>
    <xf numFmtId="164" fontId="1" fillId="0" borderId="2" xfId="0" applyNumberFormat="1" applyFont="1" applyBorder="1"/>
    <xf numFmtId="164" fontId="1" fillId="0" borderId="2" xfId="0" applyNumberFormat="1" applyFont="1" applyBorder="1" applyAlignment="1">
      <alignment horizontal="center"/>
    </xf>
    <xf numFmtId="164" fontId="2" fillId="0" borderId="0" xfId="0" applyNumberFormat="1" applyFont="1" applyBorder="1" applyAlignment="1">
      <alignment horizontal="center"/>
    </xf>
    <xf numFmtId="0" fontId="2" fillId="0" borderId="0" xfId="0" applyFont="1" applyBorder="1" applyAlignment="1">
      <alignment horizontal="center"/>
    </xf>
    <xf numFmtId="164" fontId="1" fillId="0" borderId="3" xfId="0" applyNumberFormat="1" applyFont="1" applyBorder="1" applyAlignment="1">
      <alignment horizontal="center"/>
    </xf>
    <xf numFmtId="164" fontId="1" fillId="0" borderId="1" xfId="0" applyNumberFormat="1" applyFont="1" applyBorder="1" applyAlignment="1">
      <alignment horizontal="center"/>
    </xf>
    <xf numFmtId="0" fontId="20" fillId="0" borderId="3" xfId="0" applyFont="1" applyBorder="1" applyAlignment="1">
      <alignment horizontal="center"/>
    </xf>
    <xf numFmtId="0" fontId="1" fillId="0" borderId="1" xfId="0" applyFont="1" applyBorder="1" applyAlignment="1">
      <alignment horizontal="center"/>
    </xf>
    <xf numFmtId="0" fontId="17" fillId="0" borderId="0" xfId="0" applyFont="1" applyAlignment="1">
      <alignment horizontal="left" vertical="center"/>
    </xf>
    <xf numFmtId="0" fontId="17" fillId="0" borderId="0" xfId="0" applyFont="1"/>
    <xf numFmtId="0" fontId="15" fillId="0" borderId="2" xfId="0" applyFont="1" applyBorder="1" applyAlignment="1">
      <alignment horizontal="center" vertical="center"/>
    </xf>
    <xf numFmtId="0" fontId="24" fillId="0" borderId="0" xfId="0" applyFont="1" applyBorder="1" applyAlignment="1">
      <alignment horizontal="left"/>
    </xf>
    <xf numFmtId="0" fontId="1" fillId="5" borderId="1" xfId="0" applyFont="1" applyFill="1" applyBorder="1" applyAlignment="1">
      <alignment horizontal="center"/>
    </xf>
    <xf numFmtId="164" fontId="1" fillId="5" borderId="0" xfId="0" applyNumberFormat="1" applyFont="1" applyFill="1" applyBorder="1" applyAlignment="1">
      <alignment horizontal="center"/>
    </xf>
    <xf numFmtId="164" fontId="1" fillId="5" borderId="1" xfId="0" applyNumberFormat="1" applyFont="1" applyFill="1" applyBorder="1" applyAlignment="1">
      <alignment horizontal="center"/>
    </xf>
    <xf numFmtId="0" fontId="1" fillId="5" borderId="6" xfId="0" applyFont="1" applyFill="1" applyBorder="1" applyAlignment="1">
      <alignment horizontal="center"/>
    </xf>
    <xf numFmtId="164" fontId="1" fillId="5" borderId="5" xfId="0" applyNumberFormat="1" applyFont="1" applyFill="1" applyBorder="1" applyAlignment="1">
      <alignment horizontal="center"/>
    </xf>
    <xf numFmtId="164" fontId="1" fillId="5" borderId="6" xfId="0" applyNumberFormat="1" applyFont="1" applyFill="1" applyBorder="1" applyAlignment="1">
      <alignment horizontal="center"/>
    </xf>
    <xf numFmtId="164" fontId="2" fillId="5" borderId="1" xfId="0" applyNumberFormat="1" applyFont="1" applyFill="1" applyBorder="1" applyAlignment="1">
      <alignment horizontal="center"/>
    </xf>
    <xf numFmtId="164" fontId="15" fillId="0" borderId="2" xfId="0" applyNumberFormat="1" applyFont="1" applyBorder="1" applyAlignment="1">
      <alignment horizontal="center"/>
    </xf>
    <xf numFmtId="169" fontId="15" fillId="0" borderId="2" xfId="0" applyNumberFormat="1" applyFont="1" applyBorder="1" applyAlignment="1">
      <alignment horizontal="center"/>
    </xf>
    <xf numFmtId="0" fontId="15" fillId="0" borderId="0" xfId="0" applyFont="1" applyBorder="1" applyAlignment="1">
      <alignment horizontal="center"/>
    </xf>
    <xf numFmtId="169" fontId="15" fillId="0" borderId="0" xfId="0" applyNumberFormat="1" applyFont="1" applyBorder="1" applyAlignment="1">
      <alignment horizontal="center"/>
    </xf>
    <xf numFmtId="169" fontId="5" fillId="2" borderId="0" xfId="0" applyNumberFormat="1" applyFont="1" applyFill="1" applyBorder="1" applyAlignment="1">
      <alignment horizontal="center"/>
    </xf>
    <xf numFmtId="168" fontId="0" fillId="0" borderId="0" xfId="0" applyNumberFormat="1" applyBorder="1" applyAlignment="1">
      <alignment horizontal="center" vertical="center" wrapText="1"/>
    </xf>
    <xf numFmtId="0" fontId="18" fillId="0" borderId="0" xfId="0" applyFont="1"/>
    <xf numFmtId="168" fontId="18" fillId="0" borderId="0" xfId="0" applyNumberFormat="1" applyFont="1" applyFill="1" applyBorder="1" applyAlignment="1">
      <alignment horizontal="center" vertical="center" wrapText="1"/>
    </xf>
    <xf numFmtId="166" fontId="0" fillId="0" borderId="0" xfId="0" applyNumberFormat="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xf>
    <xf numFmtId="166" fontId="0" fillId="0" borderId="3" xfId="0" applyNumberFormat="1" applyFont="1" applyBorder="1" applyAlignment="1">
      <alignment horizontal="center" vertical="center" wrapText="1"/>
    </xf>
    <xf numFmtId="166" fontId="0" fillId="0" borderId="1" xfId="0" applyNumberFormat="1" applyBorder="1" applyAlignment="1">
      <alignment horizontal="center"/>
    </xf>
    <xf numFmtId="166" fontId="5" fillId="2" borderId="1" xfId="0" applyNumberFormat="1" applyFont="1" applyFill="1" applyBorder="1" applyAlignment="1">
      <alignment horizontal="center" vertical="center" wrapText="1"/>
    </xf>
    <xf numFmtId="168" fontId="18" fillId="0" borderId="0" xfId="0" applyNumberFormat="1" applyFont="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3" xfId="0" applyFont="1" applyBorder="1" applyAlignment="1">
      <alignment horizontal="center" vertical="center" wrapText="1"/>
    </xf>
    <xf numFmtId="1" fontId="0" fillId="0" borderId="1" xfId="0" applyNumberFormat="1" applyFont="1" applyBorder="1" applyAlignment="1">
      <alignment horizontal="center" vertical="center" wrapText="1"/>
    </xf>
    <xf numFmtId="1" fontId="5" fillId="2" borderId="1" xfId="0" applyNumberFormat="1" applyFont="1" applyFill="1" applyBorder="1" applyAlignment="1">
      <alignment horizontal="center" vertical="center" wrapText="1"/>
    </xf>
    <xf numFmtId="0" fontId="0" fillId="0" borderId="0" xfId="0" applyAlignment="1">
      <alignment horizontal="center"/>
    </xf>
    <xf numFmtId="169" fontId="9" fillId="0" borderId="0" xfId="0" applyNumberFormat="1" applyFont="1" applyAlignment="1">
      <alignment horizontal="center"/>
    </xf>
    <xf numFmtId="168" fontId="0" fillId="0" borderId="0" xfId="0" applyNumberFormat="1"/>
    <xf numFmtId="0" fontId="25" fillId="6" borderId="11" xfId="0" applyFont="1" applyFill="1" applyBorder="1" applyAlignment="1">
      <alignment horizontal="left"/>
    </xf>
    <xf numFmtId="0" fontId="25" fillId="6" borderId="12" xfId="0" applyFont="1" applyFill="1" applyBorder="1" applyAlignment="1">
      <alignment horizontal="center"/>
    </xf>
    <xf numFmtId="167" fontId="25" fillId="6" borderId="14" xfId="0" applyNumberFormat="1" applyFont="1" applyFill="1" applyBorder="1" applyAlignment="1">
      <alignment horizontal="center"/>
    </xf>
    <xf numFmtId="1" fontId="25" fillId="6" borderId="13" xfId="0" applyNumberFormat="1" applyFont="1" applyFill="1" applyBorder="1" applyAlignment="1">
      <alignment horizontal="center"/>
    </xf>
    <xf numFmtId="169" fontId="1" fillId="0" borderId="0" xfId="0" quotePrefix="1" applyNumberFormat="1" applyFont="1" applyBorder="1" applyAlignment="1">
      <alignment horizontal="center"/>
    </xf>
    <xf numFmtId="164" fontId="5" fillId="2" borderId="0" xfId="0" applyNumberFormat="1" applyFont="1" applyFill="1" applyAlignment="1">
      <alignment horizontal="center"/>
    </xf>
    <xf numFmtId="0" fontId="5" fillId="2" borderId="0" xfId="0" applyFont="1" applyFill="1" applyAlignment="1">
      <alignment horizontal="left"/>
    </xf>
    <xf numFmtId="0" fontId="7" fillId="0" borderId="0" xfId="0" applyFont="1" applyBorder="1"/>
    <xf numFmtId="0" fontId="8" fillId="0" borderId="0" xfId="0" applyFont="1" applyBorder="1" applyAlignment="1">
      <alignment horizontal="center"/>
    </xf>
    <xf numFmtId="169" fontId="8" fillId="0" borderId="0" xfId="0" quotePrefix="1" applyNumberFormat="1" applyFont="1" applyBorder="1" applyAlignment="1">
      <alignment horizontal="center"/>
    </xf>
    <xf numFmtId="164" fontId="9" fillId="0" borderId="0" xfId="0" applyNumberFormat="1" applyFont="1" applyBorder="1" applyAlignment="1">
      <alignment horizontal="center"/>
    </xf>
    <xf numFmtId="168" fontId="9" fillId="0" borderId="0" xfId="0" applyNumberFormat="1" applyFont="1" applyBorder="1" applyAlignment="1">
      <alignment horizontal="center" vertical="center" wrapText="1"/>
    </xf>
    <xf numFmtId="166" fontId="9" fillId="0" borderId="1" xfId="0" applyNumberFormat="1" applyFont="1" applyBorder="1" applyAlignment="1">
      <alignment horizontal="center"/>
    </xf>
    <xf numFmtId="168" fontId="9" fillId="0" borderId="0" xfId="0" applyNumberFormat="1" applyFont="1"/>
    <xf numFmtId="0" fontId="0" fillId="0" borderId="0" xfId="0" applyFont="1" applyAlignment="1">
      <alignment horizontal="center"/>
    </xf>
    <xf numFmtId="0" fontId="0" fillId="0" borderId="0" xfId="0" applyFont="1"/>
    <xf numFmtId="0" fontId="0" fillId="0" borderId="16" xfId="0" applyBorder="1"/>
    <xf numFmtId="0" fontId="0" fillId="0" borderId="17" xfId="0" applyBorder="1"/>
    <xf numFmtId="0" fontId="0" fillId="0" borderId="4" xfId="0"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0" fontId="0" fillId="0" borderId="16" xfId="0" applyFont="1" applyBorder="1" applyAlignment="1">
      <alignment horizontal="center"/>
    </xf>
    <xf numFmtId="0" fontId="0" fillId="0" borderId="5" xfId="0" applyBorder="1" applyAlignment="1">
      <alignment horizontal="center"/>
    </xf>
    <xf numFmtId="164" fontId="0" fillId="0" borderId="4" xfId="0" applyNumberFormat="1" applyBorder="1" applyAlignment="1">
      <alignment horizontal="center"/>
    </xf>
    <xf numFmtId="164" fontId="0" fillId="0" borderId="0" xfId="0" applyNumberFormat="1" applyBorder="1" applyAlignment="1">
      <alignment horizontal="center"/>
    </xf>
    <xf numFmtId="164" fontId="0" fillId="0" borderId="17" xfId="0" applyNumberFormat="1" applyBorder="1" applyAlignment="1">
      <alignment horizontal="center"/>
    </xf>
    <xf numFmtId="164" fontId="0" fillId="0" borderId="5" xfId="0" applyNumberFormat="1" applyBorder="1" applyAlignment="1">
      <alignment horizontal="center"/>
    </xf>
    <xf numFmtId="0" fontId="0" fillId="0" borderId="2" xfId="0" applyBorder="1" applyAlignment="1">
      <alignment horizontal="center"/>
    </xf>
    <xf numFmtId="166" fontId="18" fillId="0" borderId="0" xfId="0" applyNumberFormat="1" applyFont="1" applyFill="1" applyBorder="1" applyAlignment="1">
      <alignment horizontal="center" vertical="center" wrapText="1"/>
    </xf>
    <xf numFmtId="164" fontId="15" fillId="0" borderId="2" xfId="0" applyNumberFormat="1" applyFont="1" applyFill="1" applyBorder="1" applyAlignment="1">
      <alignment horizontal="center"/>
    </xf>
    <xf numFmtId="0" fontId="0" fillId="0" borderId="0" xfId="0" quotePrefix="1" applyAlignment="1">
      <alignment horizontal="center"/>
    </xf>
    <xf numFmtId="0" fontId="9" fillId="0" borderId="0" xfId="0" applyFont="1" applyAlignment="1">
      <alignment horizontal="center"/>
    </xf>
    <xf numFmtId="0" fontId="0" fillId="2" borderId="0" xfId="0" applyFill="1" applyAlignment="1">
      <alignment horizontal="center"/>
    </xf>
    <xf numFmtId="169" fontId="0" fillId="0" borderId="0" xfId="0" quotePrefix="1" applyNumberFormat="1" applyAlignment="1">
      <alignment horizontal="center"/>
    </xf>
    <xf numFmtId="0" fontId="0" fillId="0" borderId="2" xfId="0" applyBorder="1" applyAlignment="1">
      <alignment horizontal="center" vertical="center" wrapText="1"/>
    </xf>
    <xf numFmtId="0" fontId="14" fillId="0" borderId="0" xfId="0" applyFont="1"/>
    <xf numFmtId="0" fontId="30" fillId="0" borderId="0" xfId="0" applyFont="1" applyBorder="1" applyAlignment="1">
      <alignment horizontal="left"/>
    </xf>
    <xf numFmtId="0" fontId="12" fillId="0" borderId="5" xfId="0" applyFont="1" applyBorder="1" applyAlignment="1">
      <alignment horizontal="center" wrapText="1"/>
    </xf>
    <xf numFmtId="0" fontId="12" fillId="0" borderId="4" xfId="0" applyFont="1" applyBorder="1" applyAlignment="1">
      <alignment horizontal="center"/>
    </xf>
    <xf numFmtId="167" fontId="12" fillId="0" borderId="4" xfId="0" applyNumberFormat="1" applyFont="1" applyBorder="1" applyAlignment="1">
      <alignment horizontal="center"/>
    </xf>
    <xf numFmtId="0" fontId="12" fillId="0" borderId="5" xfId="0" applyFont="1" applyBorder="1" applyAlignment="1">
      <alignment horizontal="center"/>
    </xf>
    <xf numFmtId="167" fontId="12" fillId="0" borderId="5" xfId="0" applyNumberFormat="1" applyFont="1" applyBorder="1" applyAlignment="1">
      <alignment horizontal="center"/>
    </xf>
    <xf numFmtId="0" fontId="9" fillId="0" borderId="0" xfId="0" applyFont="1"/>
    <xf numFmtId="164" fontId="1" fillId="0" borderId="0" xfId="0" applyNumberFormat="1" applyFont="1"/>
    <xf numFmtId="0" fontId="22" fillId="0" borderId="0" xfId="0" applyFont="1" applyAlignment="1">
      <alignment vertical="top"/>
    </xf>
    <xf numFmtId="0" fontId="0" fillId="0" borderId="0" xfId="0" applyAlignment="1">
      <alignment vertical="top" wrapText="1"/>
    </xf>
    <xf numFmtId="0" fontId="0" fillId="0" borderId="0" xfId="0" applyAlignment="1">
      <alignment vertical="top"/>
    </xf>
    <xf numFmtId="0" fontId="15" fillId="0" borderId="2" xfId="0" applyFont="1" applyBorder="1" applyAlignment="1">
      <alignment vertical="top"/>
    </xf>
    <xf numFmtId="0" fontId="15" fillId="0" borderId="2" xfId="0" applyFont="1" applyBorder="1" applyAlignment="1">
      <alignment vertical="top" wrapText="1"/>
    </xf>
    <xf numFmtId="0" fontId="9" fillId="0" borderId="0" xfId="0" applyFont="1" applyAlignment="1">
      <alignment vertical="top"/>
    </xf>
    <xf numFmtId="0" fontId="9" fillId="0" borderId="0" xfId="0" applyFont="1" applyAlignment="1">
      <alignment vertical="top" wrapText="1"/>
    </xf>
    <xf numFmtId="0" fontId="9" fillId="7" borderId="0" xfId="0" applyFont="1" applyFill="1" applyBorder="1" applyAlignment="1">
      <alignment horizontal="center" vertical="center" wrapText="1"/>
    </xf>
    <xf numFmtId="2" fontId="9" fillId="7" borderId="0" xfId="0" applyNumberFormat="1" applyFont="1" applyFill="1" applyBorder="1" applyAlignment="1">
      <alignment horizontal="center" vertical="center" wrapText="1"/>
    </xf>
    <xf numFmtId="1" fontId="0" fillId="7" borderId="0" xfId="0" applyNumberFormat="1" applyFont="1" applyFill="1" applyBorder="1" applyAlignment="1">
      <alignment horizontal="center" vertical="center" wrapText="1"/>
    </xf>
    <xf numFmtId="1" fontId="0" fillId="7" borderId="1" xfId="0" applyNumberFormat="1" applyFont="1" applyFill="1" applyBorder="1" applyAlignment="1">
      <alignment horizontal="center" vertical="center" wrapText="1"/>
    </xf>
    <xf numFmtId="166" fontId="0" fillId="7" borderId="0" xfId="0" applyNumberFormat="1" applyFont="1" applyFill="1" applyBorder="1" applyAlignment="1">
      <alignment horizontal="center" vertical="center" wrapText="1"/>
    </xf>
    <xf numFmtId="168" fontId="0" fillId="7" borderId="0" xfId="0" applyNumberFormat="1" applyFont="1" applyFill="1" applyBorder="1" applyAlignment="1">
      <alignment horizontal="center" vertical="center" wrapText="1"/>
    </xf>
    <xf numFmtId="166" fontId="0" fillId="7" borderId="1" xfId="0" applyNumberFormat="1" applyFill="1" applyBorder="1" applyAlignment="1">
      <alignment horizontal="center"/>
    </xf>
    <xf numFmtId="1" fontId="9" fillId="7" borderId="0" xfId="0" applyNumberFormat="1" applyFont="1" applyFill="1" applyBorder="1" applyAlignment="1">
      <alignment horizontal="center" vertical="center" wrapText="1"/>
    </xf>
    <xf numFmtId="1" fontId="9" fillId="7" borderId="1" xfId="0" applyNumberFormat="1" applyFont="1" applyFill="1" applyBorder="1" applyAlignment="1">
      <alignment horizontal="center" vertical="center" wrapText="1"/>
    </xf>
    <xf numFmtId="166" fontId="9" fillId="7" borderId="0" xfId="0" applyNumberFormat="1" applyFont="1" applyFill="1" applyBorder="1" applyAlignment="1">
      <alignment horizontal="center" vertical="center" wrapText="1"/>
    </xf>
    <xf numFmtId="168" fontId="9" fillId="7" borderId="0" xfId="0" applyNumberFormat="1" applyFont="1" applyFill="1" applyBorder="1" applyAlignment="1">
      <alignment horizontal="center" vertical="center" wrapText="1"/>
    </xf>
    <xf numFmtId="166" fontId="9" fillId="7" borderId="1" xfId="0" applyNumberFormat="1" applyFont="1" applyFill="1" applyBorder="1" applyAlignment="1">
      <alignment horizontal="center"/>
    </xf>
    <xf numFmtId="2" fontId="0" fillId="7" borderId="0" xfId="0" applyNumberFormat="1" applyFont="1" applyFill="1" applyBorder="1" applyAlignment="1">
      <alignment horizontal="center" vertical="center" wrapText="1"/>
    </xf>
    <xf numFmtId="0" fontId="1" fillId="4" borderId="0" xfId="0" applyFont="1" applyFill="1" applyAlignment="1">
      <alignment horizontal="center"/>
    </xf>
    <xf numFmtId="165" fontId="2" fillId="4" borderId="0" xfId="0" applyNumberFormat="1" applyFont="1" applyFill="1" applyAlignment="1">
      <alignment horizontal="center"/>
    </xf>
    <xf numFmtId="165" fontId="31" fillId="4" borderId="0" xfId="0" applyNumberFormat="1" applyFont="1" applyFill="1" applyAlignment="1">
      <alignment horizontal="center"/>
    </xf>
    <xf numFmtId="0" fontId="1" fillId="0" borderId="2" xfId="0" applyFont="1" applyBorder="1" applyAlignment="1">
      <alignment horizontal="center"/>
    </xf>
    <xf numFmtId="164" fontId="1" fillId="0" borderId="20" xfId="0" applyNumberFormat="1" applyFont="1" applyBorder="1" applyAlignment="1">
      <alignment horizontal="center"/>
    </xf>
    <xf numFmtId="164" fontId="1" fillId="0" borderId="19" xfId="0" applyNumberFormat="1" applyFont="1" applyBorder="1" applyAlignment="1">
      <alignment horizontal="center"/>
    </xf>
    <xf numFmtId="0" fontId="2" fillId="0" borderId="3" xfId="0" applyFont="1" applyBorder="1" applyAlignment="1">
      <alignment horizontal="center"/>
    </xf>
    <xf numFmtId="0" fontId="15" fillId="0" borderId="2" xfId="0" applyFont="1" applyFill="1" applyBorder="1" applyAlignment="1">
      <alignment horizontal="center"/>
    </xf>
    <xf numFmtId="0" fontId="15" fillId="0" borderId="5" xfId="0" applyFont="1" applyBorder="1"/>
    <xf numFmtId="164" fontId="9" fillId="0" borderId="0" xfId="0" applyNumberFormat="1" applyFont="1"/>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164" fontId="0" fillId="0" borderId="15" xfId="0" applyNumberFormat="1" applyBorder="1" applyAlignment="1">
      <alignment horizontal="center" vertical="center"/>
    </xf>
    <xf numFmtId="164" fontId="0" fillId="0" borderId="4" xfId="0" applyNumberFormat="1" applyBorder="1" applyAlignment="1">
      <alignment horizontal="center" vertical="center"/>
    </xf>
    <xf numFmtId="164" fontId="0" fillId="0" borderId="16" xfId="0" applyNumberFormat="1" applyBorder="1" applyAlignment="1">
      <alignment horizontal="center" vertical="center"/>
    </xf>
    <xf numFmtId="164" fontId="0" fillId="0" borderId="0" xfId="0" applyNumberFormat="1" applyBorder="1" applyAlignment="1">
      <alignment horizontal="center" vertical="center"/>
    </xf>
    <xf numFmtId="164" fontId="0" fillId="0" borderId="17" xfId="0" applyNumberFormat="1" applyBorder="1" applyAlignment="1">
      <alignment horizontal="center" vertical="center"/>
    </xf>
    <xf numFmtId="164" fontId="0" fillId="0" borderId="5" xfId="0" applyNumberFormat="1" applyBorder="1" applyAlignment="1">
      <alignment horizontal="center" vertical="center"/>
    </xf>
    <xf numFmtId="2" fontId="9" fillId="0" borderId="0" xfId="0" applyNumberFormat="1" applyFont="1"/>
    <xf numFmtId="2" fontId="2" fillId="4" borderId="0" xfId="0" applyNumberFormat="1" applyFont="1" applyFill="1" applyAlignment="1">
      <alignment horizontal="center"/>
    </xf>
    <xf numFmtId="0" fontId="23" fillId="0" borderId="0" xfId="0" applyFont="1" applyAlignment="1">
      <alignment horizontal="center"/>
    </xf>
    <xf numFmtId="0" fontId="0" fillId="0" borderId="18" xfId="0" applyBorder="1"/>
    <xf numFmtId="0" fontId="0" fillId="0" borderId="18" xfId="0" applyBorder="1" applyAlignment="1">
      <alignment horizontal="center"/>
    </xf>
    <xf numFmtId="0" fontId="0" fillId="0" borderId="4" xfId="0" applyBorder="1"/>
    <xf numFmtId="0" fontId="0" fillId="0" borderId="5" xfId="0" applyBorder="1"/>
    <xf numFmtId="9" fontId="32" fillId="0" borderId="0" xfId="0" applyNumberFormat="1" applyFont="1" applyAlignment="1">
      <alignment horizontal="center"/>
    </xf>
    <xf numFmtId="0" fontId="8" fillId="4" borderId="5" xfId="0" applyFont="1" applyFill="1" applyBorder="1" applyAlignment="1">
      <alignment horizontal="center" vertical="center"/>
    </xf>
    <xf numFmtId="0" fontId="1" fillId="4" borderId="5" xfId="0" applyFont="1" applyFill="1" applyBorder="1" applyAlignment="1">
      <alignment horizontal="center"/>
    </xf>
    <xf numFmtId="2" fontId="31" fillId="4" borderId="5" xfId="0" applyNumberFormat="1" applyFont="1" applyFill="1" applyBorder="1" applyAlignment="1">
      <alignment horizontal="center"/>
    </xf>
    <xf numFmtId="9" fontId="14" fillId="4" borderId="5" xfId="0" applyNumberFormat="1" applyFont="1" applyFill="1" applyBorder="1" applyAlignment="1">
      <alignment horizontal="center" vertical="center"/>
    </xf>
    <xf numFmtId="0" fontId="1" fillId="4" borderId="0" xfId="0" applyFont="1" applyFill="1" applyBorder="1" applyAlignment="1">
      <alignment horizontal="center"/>
    </xf>
    <xf numFmtId="0" fontId="1" fillId="0" borderId="16" xfId="0" applyFont="1" applyBorder="1" applyAlignment="1">
      <alignment horizontal="center"/>
    </xf>
    <xf numFmtId="0" fontId="23" fillId="0" borderId="21" xfId="0" applyFont="1" applyFill="1" applyBorder="1" applyAlignment="1">
      <alignment horizontal="center"/>
    </xf>
    <xf numFmtId="165" fontId="9" fillId="0" borderId="16" xfId="0" applyNumberFormat="1" applyFont="1" applyFill="1" applyBorder="1" applyAlignment="1">
      <alignment horizontal="center"/>
    </xf>
    <xf numFmtId="165" fontId="6" fillId="2" borderId="16" xfId="0" applyNumberFormat="1" applyFont="1" applyFill="1" applyBorder="1" applyAlignment="1">
      <alignment horizontal="center"/>
    </xf>
    <xf numFmtId="165" fontId="6" fillId="2" borderId="0" xfId="0" applyNumberFormat="1" applyFont="1" applyFill="1" applyBorder="1" applyAlignment="1">
      <alignment horizontal="center"/>
    </xf>
    <xf numFmtId="165" fontId="0" fillId="0" borderId="16" xfId="0" applyNumberFormat="1" applyBorder="1" applyAlignment="1">
      <alignment horizontal="center"/>
    </xf>
    <xf numFmtId="0" fontId="0" fillId="0" borderId="1" xfId="0" applyBorder="1" applyAlignment="1">
      <alignment horizontal="center"/>
    </xf>
    <xf numFmtId="0" fontId="23" fillId="0" borderId="3" xfId="0" applyFont="1" applyFill="1" applyBorder="1" applyAlignment="1">
      <alignment horizontal="center"/>
    </xf>
    <xf numFmtId="165" fontId="9" fillId="0" borderId="1" xfId="0" applyNumberFormat="1" applyFont="1" applyFill="1" applyBorder="1" applyAlignment="1">
      <alignment horizontal="center"/>
    </xf>
    <xf numFmtId="165" fontId="6" fillId="2" borderId="1" xfId="0" applyNumberFormat="1" applyFont="1" applyFill="1" applyBorder="1" applyAlignment="1">
      <alignment horizontal="center"/>
    </xf>
    <xf numFmtId="0" fontId="0" fillId="0" borderId="1" xfId="0" applyFont="1" applyBorder="1" applyAlignment="1">
      <alignment horizontal="center"/>
    </xf>
    <xf numFmtId="165" fontId="0" fillId="0" borderId="1" xfId="0" applyNumberFormat="1" applyBorder="1" applyAlignment="1">
      <alignment horizontal="center"/>
    </xf>
    <xf numFmtId="169" fontId="6" fillId="2" borderId="0" xfId="0" applyNumberFormat="1" applyFont="1" applyFill="1" applyAlignment="1">
      <alignment horizontal="center"/>
    </xf>
    <xf numFmtId="17" fontId="0" fillId="0" borderId="0" xfId="0" applyNumberFormat="1" applyAlignment="1">
      <alignment horizontal="center"/>
    </xf>
    <xf numFmtId="2" fontId="0" fillId="0" borderId="0" xfId="0" applyNumberFormat="1" applyAlignment="1">
      <alignment horizontal="center"/>
    </xf>
    <xf numFmtId="170" fontId="0" fillId="0" borderId="0" xfId="0" applyNumberFormat="1" applyAlignment="1">
      <alignment horizontal="center"/>
    </xf>
    <xf numFmtId="164" fontId="0" fillId="0" borderId="0" xfId="0" applyNumberFormat="1"/>
    <xf numFmtId="0" fontId="34" fillId="0" borderId="0" xfId="0" applyFont="1"/>
    <xf numFmtId="9" fontId="33" fillId="0" borderId="0" xfId="0" applyNumberFormat="1" applyFont="1" applyAlignment="1">
      <alignment horizontal="center"/>
    </xf>
    <xf numFmtId="0" fontId="0" fillId="0" borderId="4" xfId="0" applyFill="1" applyBorder="1"/>
    <xf numFmtId="0" fontId="0" fillId="0" borderId="4" xfId="0" applyFill="1" applyBorder="1" applyAlignment="1">
      <alignment horizontal="center"/>
    </xf>
    <xf numFmtId="0" fontId="0" fillId="0" borderId="5" xfId="0" applyFill="1" applyBorder="1"/>
    <xf numFmtId="0" fontId="0" fillId="0" borderId="5" xfId="0" applyFill="1" applyBorder="1" applyAlignment="1">
      <alignment horizontal="center"/>
    </xf>
    <xf numFmtId="0" fontId="15" fillId="0" borderId="4" xfId="0" applyFont="1" applyBorder="1" applyAlignment="1">
      <alignment horizontal="center"/>
    </xf>
    <xf numFmtId="0" fontId="0" fillId="0" borderId="0" xfId="0" applyAlignment="1">
      <alignment horizontal="center"/>
    </xf>
    <xf numFmtId="0" fontId="46" fillId="0" borderId="0" xfId="4" applyFont="1" applyAlignment="1">
      <alignment horizontal="left"/>
    </xf>
    <xf numFmtId="0" fontId="48" fillId="0" borderId="0" xfId="4" applyFont="1" applyAlignment="1">
      <alignment horizontal="center"/>
    </xf>
    <xf numFmtId="0" fontId="51" fillId="0" borderId="0" xfId="5" applyFont="1" applyAlignment="1">
      <alignment horizontal="center"/>
    </xf>
    <xf numFmtId="0" fontId="48" fillId="0" borderId="0" xfId="4" applyFont="1" applyAlignment="1">
      <alignment horizontal="left"/>
    </xf>
    <xf numFmtId="0" fontId="51" fillId="0" borderId="0" xfId="5" applyFont="1" applyAlignment="1">
      <alignment horizontal="left"/>
    </xf>
    <xf numFmtId="0" fontId="46" fillId="0" borderId="0" xfId="4" applyFont="1" applyAlignment="1"/>
    <xf numFmtId="0" fontId="46" fillId="0" borderId="5" xfId="4" applyFont="1" applyBorder="1" applyAlignment="1"/>
    <xf numFmtId="0" fontId="16" fillId="0" borderId="0" xfId="5" applyAlignment="1"/>
    <xf numFmtId="0" fontId="16" fillId="0" borderId="5" xfId="5" applyBorder="1" applyAlignment="1"/>
    <xf numFmtId="0" fontId="16" fillId="0" borderId="0" xfId="5" applyFont="1" applyAlignment="1"/>
    <xf numFmtId="169" fontId="9" fillId="0" borderId="0" xfId="0" applyNumberFormat="1" applyFont="1" applyBorder="1" applyAlignment="1">
      <alignment horizontal="center"/>
    </xf>
    <xf numFmtId="169" fontId="0" fillId="0" borderId="0" xfId="0" applyNumberFormat="1" applyBorder="1" applyAlignment="1">
      <alignment horizontal="center"/>
    </xf>
    <xf numFmtId="0" fontId="15" fillId="0" borderId="5" xfId="0" applyFont="1" applyBorder="1" applyAlignment="1">
      <alignment horizontal="center"/>
    </xf>
    <xf numFmtId="169" fontId="9" fillId="0" borderId="5" xfId="0" applyNumberFormat="1" applyFont="1" applyBorder="1" applyAlignment="1">
      <alignment horizontal="center"/>
    </xf>
    <xf numFmtId="169" fontId="0" fillId="0" borderId="5" xfId="0" applyNumberFormat="1" applyBorder="1" applyAlignment="1">
      <alignment horizontal="center"/>
    </xf>
    <xf numFmtId="169" fontId="9" fillId="0" borderId="4" xfId="0" applyNumberFormat="1" applyFont="1" applyBorder="1" applyAlignment="1">
      <alignment horizontal="center"/>
    </xf>
    <xf numFmtId="169" fontId="0" fillId="0" borderId="4" xfId="0" applyNumberFormat="1" applyBorder="1" applyAlignment="1">
      <alignment horizontal="center"/>
    </xf>
    <xf numFmtId="0" fontId="38" fillId="0" borderId="0" xfId="6" applyFont="1" applyFill="1" applyBorder="1" applyAlignment="1">
      <alignment horizontal="center" wrapText="1"/>
    </xf>
    <xf numFmtId="0" fontId="38" fillId="0" borderId="0" xfId="6" applyFont="1" applyFill="1" applyBorder="1" applyAlignment="1">
      <alignment horizontal="left" wrapText="1"/>
    </xf>
    <xf numFmtId="0" fontId="40" fillId="0" borderId="0" xfId="6" applyFont="1" applyFill="1" applyBorder="1" applyAlignment="1">
      <alignment horizontal="right" wrapText="1"/>
    </xf>
    <xf numFmtId="0" fontId="41" fillId="0" borderId="0" xfId="6" applyFont="1" applyFill="1" applyBorder="1" applyAlignment="1">
      <alignment horizontal="right" wrapText="1"/>
    </xf>
    <xf numFmtId="0" fontId="39" fillId="0" borderId="0" xfId="6" applyFont="1" applyFill="1" applyBorder="1" applyAlignment="1">
      <alignment horizontal="left" wrapText="1"/>
    </xf>
    <xf numFmtId="0" fontId="39" fillId="0" borderId="5" xfId="6" applyFont="1" applyFill="1" applyBorder="1" applyAlignment="1">
      <alignment horizontal="center" wrapText="1"/>
    </xf>
    <xf numFmtId="0" fontId="43" fillId="0" borderId="5" xfId="6" applyBorder="1" applyAlignment="1">
      <alignment wrapText="1"/>
    </xf>
    <xf numFmtId="0" fontId="43" fillId="0" borderId="0" xfId="6" applyBorder="1" applyAlignment="1">
      <alignment wrapText="1"/>
    </xf>
    <xf numFmtId="0" fontId="40" fillId="0" borderId="16" xfId="6" applyFont="1" applyFill="1" applyBorder="1" applyAlignment="1">
      <alignment horizontal="right" wrapText="1"/>
    </xf>
    <xf numFmtId="0" fontId="40" fillId="0" borderId="17" xfId="6" applyFont="1" applyFill="1" applyBorder="1" applyAlignment="1">
      <alignment horizontal="right" wrapText="1"/>
    </xf>
    <xf numFmtId="0" fontId="36" fillId="0" borderId="5" xfId="6" applyFont="1" applyBorder="1" applyAlignment="1">
      <alignment wrapText="1"/>
    </xf>
    <xf numFmtId="0" fontId="37" fillId="0" borderId="5" xfId="6" applyFont="1" applyBorder="1" applyAlignment="1">
      <alignment horizontal="center" wrapText="1"/>
    </xf>
    <xf numFmtId="0" fontId="43" fillId="0" borderId="0" xfId="6" applyAlignment="1">
      <alignment wrapText="1"/>
    </xf>
    <xf numFmtId="165" fontId="39" fillId="0" borderId="0" xfId="6" applyNumberFormat="1" applyFont="1" applyFill="1" applyBorder="1" applyAlignment="1">
      <alignment horizontal="center" wrapText="1"/>
    </xf>
    <xf numFmtId="0" fontId="43" fillId="0" borderId="0" xfId="6" applyFill="1" applyBorder="1" applyAlignment="1">
      <alignment wrapText="1"/>
    </xf>
    <xf numFmtId="169" fontId="39" fillId="0" borderId="0" xfId="6" applyNumberFormat="1" applyFont="1" applyFill="1" applyBorder="1" applyAlignment="1">
      <alignment horizontal="center" wrapText="1"/>
    </xf>
    <xf numFmtId="169" fontId="42" fillId="0" borderId="0" xfId="6" applyNumberFormat="1" applyFont="1" applyFill="1" applyBorder="1" applyAlignment="1">
      <alignment horizontal="center" wrapText="1"/>
    </xf>
    <xf numFmtId="169" fontId="38" fillId="0" borderId="0" xfId="6" applyNumberFormat="1" applyFont="1" applyFill="1" applyBorder="1" applyAlignment="1">
      <alignment horizontal="center" wrapText="1"/>
    </xf>
    <xf numFmtId="169" fontId="38" fillId="8" borderId="0" xfId="6" applyNumberFormat="1" applyFont="1" applyFill="1" applyBorder="1" applyAlignment="1">
      <alignment horizontal="center" wrapText="1"/>
    </xf>
    <xf numFmtId="169" fontId="39" fillId="0" borderId="5" xfId="6" applyNumberFormat="1" applyFont="1" applyFill="1" applyBorder="1" applyAlignment="1">
      <alignment horizontal="center" wrapText="1"/>
    </xf>
    <xf numFmtId="169" fontId="38" fillId="9" borderId="0" xfId="6" applyNumberFormat="1" applyFont="1" applyFill="1" applyBorder="1" applyAlignment="1">
      <alignment horizontal="center" wrapText="1"/>
    </xf>
    <xf numFmtId="164" fontId="39" fillId="0" borderId="0" xfId="6" applyNumberFormat="1" applyFont="1" applyFill="1" applyBorder="1" applyAlignment="1">
      <alignment horizontal="center" wrapText="1"/>
    </xf>
    <xf numFmtId="6" fontId="43" fillId="0" borderId="0" xfId="6" quotePrefix="1" applyNumberFormat="1" applyBorder="1" applyAlignment="1">
      <alignment wrapText="1"/>
    </xf>
    <xf numFmtId="169" fontId="43" fillId="0" borderId="0" xfId="6" applyNumberFormat="1" applyFont="1" applyBorder="1" applyAlignment="1">
      <alignment horizontal="center" wrapText="1"/>
    </xf>
    <xf numFmtId="164" fontId="43" fillId="0" borderId="0" xfId="6" applyNumberFormat="1" applyBorder="1" applyAlignment="1">
      <alignment horizontal="center" wrapText="1"/>
    </xf>
    <xf numFmtId="169" fontId="43" fillId="0" borderId="1" xfId="6" applyNumberFormat="1" applyBorder="1" applyAlignment="1">
      <alignment horizontal="center" wrapText="1"/>
    </xf>
    <xf numFmtId="164" fontId="39" fillId="0" borderId="5" xfId="6" applyNumberFormat="1" applyFont="1" applyFill="1" applyBorder="1" applyAlignment="1">
      <alignment horizontal="center" wrapText="1"/>
    </xf>
    <xf numFmtId="6" fontId="43" fillId="0" borderId="5" xfId="6" quotePrefix="1" applyNumberFormat="1" applyBorder="1" applyAlignment="1">
      <alignment wrapText="1"/>
    </xf>
    <xf numFmtId="169" fontId="43" fillId="0" borderId="5" xfId="6" applyNumberFormat="1" applyFont="1" applyBorder="1" applyAlignment="1">
      <alignment horizontal="center" wrapText="1"/>
    </xf>
    <xf numFmtId="164" fontId="43" fillId="0" borderId="5" xfId="6" applyNumberFormat="1" applyBorder="1" applyAlignment="1">
      <alignment horizontal="center" wrapText="1"/>
    </xf>
    <xf numFmtId="169" fontId="43" fillId="0" borderId="6" xfId="6" applyNumberFormat="1" applyBorder="1" applyAlignment="1">
      <alignment horizontal="center" wrapText="1"/>
    </xf>
    <xf numFmtId="0" fontId="46" fillId="0" borderId="0" xfId="4" applyFont="1" applyAlignment="1">
      <alignment wrapText="1"/>
    </xf>
    <xf numFmtId="0" fontId="46" fillId="0" borderId="22" xfId="4" applyFont="1" applyBorder="1" applyAlignment="1">
      <alignment wrapText="1"/>
    </xf>
    <xf numFmtId="0" fontId="46" fillId="0" borderId="12" xfId="4" applyFont="1" applyBorder="1" applyAlignment="1">
      <alignment wrapText="1"/>
    </xf>
    <xf numFmtId="0" fontId="46" fillId="0" borderId="23" xfId="4" applyFont="1" applyBorder="1" applyAlignment="1">
      <alignment wrapText="1"/>
    </xf>
    <xf numFmtId="0" fontId="46" fillId="0" borderId="14" xfId="4" applyFont="1" applyBorder="1" applyAlignment="1">
      <alignment wrapText="1"/>
    </xf>
    <xf numFmtId="0" fontId="46" fillId="0" borderId="0" xfId="4" applyFont="1" applyBorder="1" applyAlignment="1">
      <alignment wrapText="1"/>
    </xf>
    <xf numFmtId="0" fontId="48" fillId="0" borderId="0" xfId="4" applyFont="1" applyAlignment="1">
      <alignment horizontal="center" wrapText="1"/>
    </xf>
    <xf numFmtId="0" fontId="48" fillId="0" borderId="23" xfId="4" applyFont="1" applyBorder="1" applyAlignment="1">
      <alignment wrapText="1"/>
    </xf>
    <xf numFmtId="0" fontId="46" fillId="0" borderId="0" xfId="4" applyFont="1" applyAlignment="1">
      <alignment horizontal="center" wrapText="1"/>
    </xf>
    <xf numFmtId="0" fontId="46" fillId="0" borderId="5" xfId="4" applyFont="1" applyBorder="1" applyAlignment="1">
      <alignment horizontal="center" wrapText="1"/>
    </xf>
    <xf numFmtId="0" fontId="46" fillId="0" borderId="18" xfId="4" applyFont="1" applyFill="1" applyBorder="1" applyAlignment="1">
      <alignment horizontal="center" wrapText="1"/>
    </xf>
    <xf numFmtId="2" fontId="46" fillId="0" borderId="0" xfId="4" applyNumberFormat="1" applyFont="1" applyAlignment="1">
      <alignment horizontal="center" wrapText="1"/>
    </xf>
    <xf numFmtId="2" fontId="49" fillId="0" borderId="0" xfId="4" applyNumberFormat="1" applyFont="1" applyAlignment="1">
      <alignment horizontal="center" wrapText="1"/>
    </xf>
    <xf numFmtId="165" fontId="46" fillId="0" borderId="0" xfId="4" applyNumberFormat="1" applyFont="1" applyAlignment="1">
      <alignment horizontal="center" wrapText="1"/>
    </xf>
    <xf numFmtId="165" fontId="49" fillId="0" borderId="0" xfId="4" applyNumberFormat="1" applyFont="1" applyAlignment="1">
      <alignment horizontal="center" wrapText="1"/>
    </xf>
    <xf numFmtId="0" fontId="46" fillId="0" borderId="0" xfId="4" applyFont="1" applyBorder="1" applyAlignment="1">
      <alignment horizontal="center" wrapText="1"/>
    </xf>
    <xf numFmtId="2" fontId="46" fillId="0" borderId="0" xfId="4" applyNumberFormat="1" applyFont="1" applyBorder="1" applyAlignment="1">
      <alignment horizontal="center" wrapText="1"/>
    </xf>
    <xf numFmtId="2" fontId="49" fillId="0" borderId="0" xfId="4" applyNumberFormat="1" applyFont="1" applyBorder="1" applyAlignment="1">
      <alignment horizontal="center" wrapText="1"/>
    </xf>
    <xf numFmtId="165" fontId="46" fillId="0" borderId="0" xfId="4" applyNumberFormat="1" applyFont="1" applyBorder="1" applyAlignment="1">
      <alignment horizontal="center" wrapText="1"/>
    </xf>
    <xf numFmtId="165" fontId="49" fillId="0" borderId="0" xfId="4" applyNumberFormat="1" applyFont="1" applyBorder="1" applyAlignment="1">
      <alignment horizontal="center" wrapText="1"/>
    </xf>
    <xf numFmtId="2" fontId="46" fillId="0" borderId="0" xfId="7" applyNumberFormat="1" applyFont="1" applyAlignment="1">
      <alignment horizontal="center" wrapText="1"/>
    </xf>
    <xf numFmtId="10" fontId="47" fillId="0" borderId="0" xfId="4" applyNumberFormat="1" applyFont="1" applyAlignment="1">
      <alignment horizontal="center" wrapText="1"/>
    </xf>
    <xf numFmtId="0" fontId="49" fillId="0" borderId="0" xfId="4" applyFont="1" applyAlignment="1">
      <alignment horizontal="center" wrapText="1"/>
    </xf>
    <xf numFmtId="0" fontId="46" fillId="0" borderId="23" xfId="4" applyFont="1" applyBorder="1" applyAlignment="1">
      <alignment horizontal="center" wrapText="1"/>
    </xf>
    <xf numFmtId="165" fontId="46" fillId="0" borderId="23" xfId="4" applyNumberFormat="1" applyFont="1" applyBorder="1" applyAlignment="1">
      <alignment horizontal="center" wrapText="1"/>
    </xf>
    <xf numFmtId="165" fontId="46" fillId="0" borderId="0" xfId="4" applyNumberFormat="1" applyFont="1" applyAlignment="1">
      <alignment wrapText="1"/>
    </xf>
    <xf numFmtId="0" fontId="46" fillId="0" borderId="5" xfId="4" applyFont="1" applyBorder="1" applyAlignment="1">
      <alignment wrapText="1"/>
    </xf>
    <xf numFmtId="0" fontId="16" fillId="0" borderId="0" xfId="5" applyAlignment="1">
      <alignment wrapText="1"/>
    </xf>
    <xf numFmtId="0" fontId="16" fillId="0" borderId="22" xfId="5" applyBorder="1" applyAlignment="1">
      <alignment wrapText="1"/>
    </xf>
    <xf numFmtId="0" fontId="16" fillId="0" borderId="12" xfId="5" applyBorder="1" applyAlignment="1">
      <alignment wrapText="1"/>
    </xf>
    <xf numFmtId="0" fontId="16" fillId="0" borderId="0" xfId="5" applyBorder="1" applyAlignment="1">
      <alignment wrapText="1"/>
    </xf>
    <xf numFmtId="0" fontId="16" fillId="0" borderId="25" xfId="5" applyBorder="1" applyAlignment="1">
      <alignment wrapText="1"/>
    </xf>
    <xf numFmtId="0" fontId="16" fillId="0" borderId="23" xfId="5" applyBorder="1" applyAlignment="1">
      <alignment wrapText="1"/>
    </xf>
    <xf numFmtId="0" fontId="16" fillId="0" borderId="14" xfId="5" applyBorder="1" applyAlignment="1">
      <alignment wrapText="1"/>
    </xf>
    <xf numFmtId="0" fontId="51" fillId="0" borderId="0" xfId="5" applyFont="1" applyAlignment="1">
      <alignment horizontal="center" wrapText="1"/>
    </xf>
    <xf numFmtId="0" fontId="16" fillId="0" borderId="0" xfId="5" applyAlignment="1">
      <alignment horizontal="center" wrapText="1"/>
    </xf>
    <xf numFmtId="0" fontId="16" fillId="0" borderId="5" xfId="5" applyBorder="1" applyAlignment="1">
      <alignment horizontal="center" wrapText="1"/>
    </xf>
    <xf numFmtId="2" fontId="16" fillId="0" borderId="0" xfId="5" applyNumberFormat="1" applyAlignment="1">
      <alignment horizontal="center" wrapText="1"/>
    </xf>
    <xf numFmtId="165" fontId="16" fillId="0" borderId="0" xfId="5" applyNumberFormat="1" applyAlignment="1">
      <alignment horizontal="center" wrapText="1"/>
    </xf>
    <xf numFmtId="0" fontId="52" fillId="0" borderId="0" xfId="5" applyFont="1" applyAlignment="1">
      <alignment horizontal="center" wrapText="1"/>
    </xf>
    <xf numFmtId="0" fontId="16" fillId="0" borderId="0" xfId="5" applyFont="1" applyAlignment="1">
      <alignment horizontal="center" wrapText="1"/>
    </xf>
    <xf numFmtId="2" fontId="16" fillId="0" borderId="0" xfId="5" applyNumberFormat="1" applyFont="1" applyAlignment="1">
      <alignment horizontal="center" wrapText="1"/>
    </xf>
    <xf numFmtId="165" fontId="16" fillId="0" borderId="0" xfId="5" applyNumberFormat="1" applyFont="1" applyAlignment="1">
      <alignment horizontal="center" wrapText="1"/>
    </xf>
    <xf numFmtId="0" fontId="52" fillId="0" borderId="0" xfId="5" applyFont="1" applyBorder="1" applyAlignment="1">
      <alignment horizontal="center" wrapText="1"/>
    </xf>
    <xf numFmtId="165" fontId="16" fillId="0" borderId="0" xfId="7" applyNumberFormat="1" applyFont="1" applyBorder="1" applyAlignment="1">
      <alignment horizontal="center" wrapText="1"/>
    </xf>
    <xf numFmtId="0" fontId="16" fillId="0" borderId="0" xfId="5" applyFont="1" applyBorder="1" applyAlignment="1">
      <alignment horizontal="center" wrapText="1"/>
    </xf>
    <xf numFmtId="2" fontId="16" fillId="0" borderId="0" xfId="5" applyNumberFormat="1" applyFont="1" applyBorder="1" applyAlignment="1">
      <alignment horizontal="center" wrapText="1"/>
    </xf>
    <xf numFmtId="165" fontId="16" fillId="0" borderId="0" xfId="5" applyNumberFormat="1" applyFont="1" applyBorder="1" applyAlignment="1">
      <alignment horizontal="center" wrapText="1"/>
    </xf>
    <xf numFmtId="165" fontId="16" fillId="0" borderId="0" xfId="7" applyNumberFormat="1" applyFont="1" applyAlignment="1">
      <alignment horizontal="center" wrapText="1"/>
    </xf>
    <xf numFmtId="0" fontId="50" fillId="0" borderId="0" xfId="5" applyFont="1" applyAlignment="1">
      <alignment horizontal="center" wrapText="1"/>
    </xf>
    <xf numFmtId="0" fontId="16" fillId="0" borderId="23" xfId="5" applyFont="1" applyBorder="1" applyAlignment="1">
      <alignment horizontal="center" wrapText="1"/>
    </xf>
    <xf numFmtId="165" fontId="16" fillId="0" borderId="23" xfId="5" applyNumberFormat="1" applyBorder="1" applyAlignment="1">
      <alignment horizontal="center" wrapText="1"/>
    </xf>
    <xf numFmtId="0" fontId="16" fillId="0" borderId="23" xfId="5" applyBorder="1" applyAlignment="1">
      <alignment horizontal="center" wrapText="1"/>
    </xf>
    <xf numFmtId="0" fontId="16" fillId="0" borderId="5" xfId="5" applyBorder="1" applyAlignment="1">
      <alignment wrapText="1"/>
    </xf>
    <xf numFmtId="0" fontId="47" fillId="0" borderId="11" xfId="4" applyFont="1" applyBorder="1" applyAlignment="1"/>
    <xf numFmtId="0" fontId="47" fillId="0" borderId="13" xfId="4" applyFont="1" applyBorder="1" applyAlignment="1"/>
    <xf numFmtId="0" fontId="47" fillId="0" borderId="0" xfId="4" applyFont="1" applyBorder="1" applyAlignment="1"/>
    <xf numFmtId="0" fontId="47" fillId="0" borderId="0" xfId="4" applyFont="1" applyAlignment="1"/>
    <xf numFmtId="0" fontId="48" fillId="0" borderId="0" xfId="4" applyFont="1" applyAlignment="1"/>
    <xf numFmtId="0" fontId="46" fillId="0" borderId="0" xfId="4" applyFont="1" applyFill="1" applyBorder="1" applyAlignment="1"/>
    <xf numFmtId="0" fontId="50" fillId="0" borderId="11" xfId="5" applyNumberFormat="1" applyFont="1" applyBorder="1" applyAlignment="1"/>
    <xf numFmtId="0" fontId="50" fillId="0" borderId="24" xfId="5" applyNumberFormat="1" applyFont="1" applyBorder="1" applyAlignment="1"/>
    <xf numFmtId="0" fontId="16" fillId="0" borderId="13" xfId="5" applyBorder="1" applyAlignment="1"/>
    <xf numFmtId="0" fontId="51" fillId="0" borderId="0" xfId="5" applyFont="1" applyAlignment="1"/>
    <xf numFmtId="0" fontId="16" fillId="0" borderId="0" xfId="6" applyFont="1" applyAlignment="1"/>
    <xf numFmtId="164" fontId="0" fillId="0" borderId="15" xfId="0" applyNumberFormat="1" applyBorder="1" applyAlignment="1">
      <alignment horizontal="center"/>
    </xf>
    <xf numFmtId="164" fontId="0" fillId="0" borderId="19" xfId="0" applyNumberFormat="1" applyBorder="1" applyAlignment="1">
      <alignment horizontal="center"/>
    </xf>
    <xf numFmtId="164" fontId="0" fillId="0" borderId="16" xfId="0" applyNumberFormat="1" applyBorder="1" applyAlignment="1">
      <alignment horizontal="center"/>
    </xf>
    <xf numFmtId="169" fontId="1" fillId="0" borderId="5" xfId="0" quotePrefix="1" applyNumberFormat="1" applyFont="1" applyBorder="1" applyAlignment="1">
      <alignment horizontal="center"/>
    </xf>
    <xf numFmtId="164" fontId="9" fillId="0" borderId="5" xfId="0" applyNumberFormat="1" applyFont="1" applyBorder="1" applyAlignment="1">
      <alignment horizontal="center"/>
    </xf>
    <xf numFmtId="0" fontId="1" fillId="0" borderId="4" xfId="0" applyFont="1" applyBorder="1" applyAlignment="1">
      <alignment horizontal="center"/>
    </xf>
    <xf numFmtId="169" fontId="1" fillId="0" borderId="4" xfId="0" quotePrefix="1" applyNumberFormat="1" applyFont="1" applyBorder="1" applyAlignment="1">
      <alignment horizontal="center"/>
    </xf>
    <xf numFmtId="164" fontId="9" fillId="0" borderId="4" xfId="0" applyNumberFormat="1" applyFont="1" applyBorder="1" applyAlignment="1">
      <alignment horizontal="center"/>
    </xf>
    <xf numFmtId="0" fontId="1" fillId="0" borderId="18" xfId="0" applyFont="1" applyBorder="1" applyAlignment="1">
      <alignment horizontal="center"/>
    </xf>
    <xf numFmtId="169" fontId="1" fillId="0" borderId="18" xfId="0" quotePrefix="1" applyNumberFormat="1" applyFont="1" applyBorder="1" applyAlignment="1">
      <alignment horizontal="center"/>
    </xf>
    <xf numFmtId="164" fontId="9" fillId="0" borderId="18" xfId="0" applyNumberFormat="1" applyFont="1" applyBorder="1" applyAlignment="1">
      <alignment horizontal="center"/>
    </xf>
    <xf numFmtId="0" fontId="0" fillId="0" borderId="1" xfId="0" applyBorder="1"/>
    <xf numFmtId="0" fontId="53" fillId="0" borderId="0" xfId="0" applyFont="1" applyFill="1" applyBorder="1" applyAlignment="1">
      <alignment horizontal="center" vertical="center" wrapText="1"/>
    </xf>
    <xf numFmtId="2" fontId="53" fillId="0" borderId="0" xfId="0" applyNumberFormat="1" applyFont="1" applyFill="1" applyBorder="1" applyAlignment="1">
      <alignment horizontal="center" vertical="center" wrapText="1"/>
    </xf>
    <xf numFmtId="1" fontId="53" fillId="0" borderId="0" xfId="0" applyNumberFormat="1" applyFont="1" applyBorder="1" applyAlignment="1">
      <alignment horizontal="center" vertical="center" wrapText="1"/>
    </xf>
    <xf numFmtId="1" fontId="53" fillId="0" borderId="1" xfId="0" applyNumberFormat="1" applyFont="1" applyBorder="1" applyAlignment="1">
      <alignment horizontal="center" vertical="center" wrapText="1"/>
    </xf>
    <xf numFmtId="166" fontId="53" fillId="0" borderId="0" xfId="0" applyNumberFormat="1" applyFont="1" applyBorder="1" applyAlignment="1">
      <alignment horizontal="center" vertical="center" wrapText="1"/>
    </xf>
    <xf numFmtId="168" fontId="53" fillId="0" borderId="0" xfId="0" applyNumberFormat="1" applyFont="1" applyBorder="1" applyAlignment="1">
      <alignment horizontal="center" vertical="center" wrapText="1"/>
    </xf>
    <xf numFmtId="166" fontId="53" fillId="0" borderId="1" xfId="0" applyNumberFormat="1" applyFont="1" applyBorder="1" applyAlignment="1">
      <alignment horizontal="center"/>
    </xf>
    <xf numFmtId="168" fontId="53" fillId="0" borderId="0" xfId="0" applyNumberFormat="1" applyFont="1" applyFill="1" applyBorder="1" applyAlignment="1">
      <alignment horizontal="center" vertical="center" wrapText="1"/>
    </xf>
    <xf numFmtId="0" fontId="53" fillId="0" borderId="0" xfId="0" applyFont="1" applyAlignment="1">
      <alignment horizontal="center" vertical="center" wrapText="1"/>
    </xf>
    <xf numFmtId="2" fontId="53" fillId="0" borderId="0" xfId="0" applyNumberFormat="1" applyFont="1" applyBorder="1" applyAlignment="1">
      <alignment horizontal="center" vertical="center" wrapText="1"/>
    </xf>
    <xf numFmtId="1" fontId="9" fillId="0" borderId="0" xfId="0" applyNumberFormat="1" applyFont="1" applyFill="1" applyBorder="1" applyAlignment="1">
      <alignment horizontal="center" vertical="center" wrapText="1"/>
    </xf>
    <xf numFmtId="1" fontId="53" fillId="0" borderId="0" xfId="0" applyNumberFormat="1" applyFont="1" applyFill="1" applyBorder="1" applyAlignment="1">
      <alignment horizontal="center" vertical="center" wrapText="1"/>
    </xf>
    <xf numFmtId="2" fontId="54" fillId="0" borderId="0" xfId="0" applyNumberFormat="1" applyFont="1" applyFill="1" applyBorder="1" applyAlignment="1">
      <alignment horizontal="center" vertical="center" wrapText="1"/>
    </xf>
    <xf numFmtId="1" fontId="54" fillId="0" borderId="0" xfId="0" applyNumberFormat="1" applyFont="1" applyBorder="1" applyAlignment="1">
      <alignment horizontal="center" vertical="center" wrapText="1"/>
    </xf>
    <xf numFmtId="1" fontId="54" fillId="0" borderId="1" xfId="0" applyNumberFormat="1" applyFont="1" applyBorder="1" applyAlignment="1">
      <alignment horizontal="center" vertical="center" wrapText="1"/>
    </xf>
    <xf numFmtId="2" fontId="54" fillId="0" borderId="0" xfId="0" applyNumberFormat="1" applyFont="1" applyAlignment="1">
      <alignment horizontal="center" vertical="center" wrapText="1"/>
    </xf>
    <xf numFmtId="2" fontId="54" fillId="0" borderId="0" xfId="0" applyNumberFormat="1" applyFont="1" applyBorder="1" applyAlignment="1">
      <alignment horizontal="center" vertical="center" wrapText="1"/>
    </xf>
    <xf numFmtId="1" fontId="0" fillId="7" borderId="1" xfId="0" applyNumberFormat="1" applyFill="1" applyBorder="1" applyAlignment="1">
      <alignment horizontal="center"/>
    </xf>
    <xf numFmtId="1" fontId="0" fillId="0" borderId="1" xfId="0" applyNumberFormat="1" applyBorder="1" applyAlignment="1">
      <alignment horizontal="center"/>
    </xf>
    <xf numFmtId="1" fontId="53" fillId="0" borderId="1" xfId="0" applyNumberFormat="1" applyFont="1" applyBorder="1" applyAlignment="1">
      <alignment horizontal="center"/>
    </xf>
    <xf numFmtId="0" fontId="55" fillId="0" borderId="4" xfId="0" applyFont="1" applyBorder="1"/>
    <xf numFmtId="0" fontId="55" fillId="0" borderId="4" xfId="0" applyFont="1" applyBorder="1" applyAlignment="1">
      <alignment horizontal="center"/>
    </xf>
    <xf numFmtId="166" fontId="55" fillId="0" borderId="4" xfId="0" applyNumberFormat="1" applyFont="1" applyBorder="1" applyAlignment="1">
      <alignment horizontal="center"/>
    </xf>
    <xf numFmtId="0" fontId="55" fillId="0" borderId="5" xfId="0" applyFont="1" applyBorder="1"/>
    <xf numFmtId="0" fontId="55" fillId="0" borderId="5" xfId="0" applyFont="1" applyBorder="1" applyAlignment="1">
      <alignment horizontal="center"/>
    </xf>
    <xf numFmtId="166" fontId="55" fillId="0" borderId="5" xfId="0" applyNumberFormat="1" applyFont="1" applyBorder="1" applyAlignment="1">
      <alignment horizontal="center"/>
    </xf>
    <xf numFmtId="166" fontId="55" fillId="0" borderId="18" xfId="0" applyNumberFormat="1" applyFont="1" applyFill="1" applyBorder="1" applyAlignment="1">
      <alignment horizontal="center"/>
    </xf>
    <xf numFmtId="166" fontId="55" fillId="0" borderId="4" xfId="0" applyNumberFormat="1" applyFont="1" applyFill="1" applyBorder="1" applyAlignment="1">
      <alignment horizontal="center"/>
    </xf>
    <xf numFmtId="166" fontId="55" fillId="0" borderId="5" xfId="0" applyNumberFormat="1" applyFont="1" applyFill="1" applyBorder="1" applyAlignment="1">
      <alignment horizontal="center"/>
    </xf>
    <xf numFmtId="166" fontId="0" fillId="0" borderId="5" xfId="0" applyNumberFormat="1" applyBorder="1" applyAlignment="1">
      <alignment horizontal="center"/>
    </xf>
    <xf numFmtId="2" fontId="0" fillId="0" borderId="5" xfId="0" applyNumberFormat="1" applyBorder="1" applyAlignment="1">
      <alignment horizontal="center"/>
    </xf>
    <xf numFmtId="11" fontId="56" fillId="0" borderId="0" xfId="0" applyNumberFormat="1" applyFont="1" applyAlignment="1">
      <alignment horizontal="center" vertical="center"/>
    </xf>
    <xf numFmtId="0" fontId="17" fillId="0" borderId="5" xfId="0" applyFont="1" applyBorder="1"/>
    <xf numFmtId="11" fontId="9" fillId="0" borderId="0" xfId="0" applyNumberFormat="1" applyFont="1" applyAlignment="1">
      <alignment horizontal="center" vertical="center"/>
    </xf>
    <xf numFmtId="1" fontId="15" fillId="0" borderId="0" xfId="0" applyNumberFormat="1" applyFont="1" applyFill="1" applyBorder="1" applyAlignment="1">
      <alignment horizontal="center"/>
    </xf>
    <xf numFmtId="1" fontId="19" fillId="2" borderId="0" xfId="0" applyNumberFormat="1" applyFont="1" applyFill="1" applyBorder="1" applyAlignment="1">
      <alignment horizontal="center"/>
    </xf>
    <xf numFmtId="1" fontId="15" fillId="0" borderId="5" xfId="0" applyNumberFormat="1" applyFont="1" applyFill="1" applyBorder="1" applyAlignment="1">
      <alignment horizontal="center"/>
    </xf>
    <xf numFmtId="0" fontId="0" fillId="0" borderId="5" xfId="0" applyFont="1" applyBorder="1"/>
    <xf numFmtId="0" fontId="0" fillId="0" borderId="2" xfId="0" applyFont="1" applyBorder="1"/>
    <xf numFmtId="0" fontId="23" fillId="0" borderId="2" xfId="0" applyFont="1" applyBorder="1" applyAlignment="1">
      <alignment horizontal="center" vertical="center"/>
    </xf>
    <xf numFmtId="11" fontId="5" fillId="2" borderId="0" xfId="0" applyNumberFormat="1" applyFont="1" applyFill="1" applyBorder="1" applyAlignment="1">
      <alignment horizontal="center" vertical="center"/>
    </xf>
    <xf numFmtId="11" fontId="23" fillId="2" borderId="0" xfId="0" applyNumberFormat="1" applyFont="1" applyFill="1" applyBorder="1" applyAlignment="1">
      <alignment horizontal="center" vertical="center"/>
    </xf>
    <xf numFmtId="1" fontId="0" fillId="0" borderId="0" xfId="0" applyNumberFormat="1" applyFont="1"/>
    <xf numFmtId="1" fontId="9" fillId="0" borderId="0" xfId="0" applyNumberFormat="1" applyFont="1" applyAlignment="1">
      <alignment horizontal="center"/>
    </xf>
    <xf numFmtId="1" fontId="0" fillId="0" borderId="6" xfId="0" applyNumberFormat="1" applyFont="1" applyBorder="1"/>
    <xf numFmtId="0" fontId="0" fillId="0" borderId="5" xfId="0" applyFont="1" applyBorder="1" applyAlignment="1"/>
    <xf numFmtId="0" fontId="15" fillId="0" borderId="17" xfId="0" applyFont="1" applyBorder="1" applyAlignment="1">
      <alignment horizontal="center"/>
    </xf>
    <xf numFmtId="0" fontId="15" fillId="0" borderId="6" xfId="0" applyFont="1" applyBorder="1" applyAlignment="1">
      <alignment horizontal="center"/>
    </xf>
    <xf numFmtId="1" fontId="23" fillId="0" borderId="5" xfId="6" applyNumberFormat="1" applyFont="1" applyFill="1" applyBorder="1" applyAlignment="1">
      <alignment horizontal="center" vertical="center"/>
    </xf>
    <xf numFmtId="9" fontId="0" fillId="0" borderId="0" xfId="0" applyNumberFormat="1" applyFont="1" applyBorder="1" applyAlignment="1">
      <alignment horizontal="center"/>
    </xf>
    <xf numFmtId="6" fontId="0" fillId="0" borderId="0" xfId="0" applyNumberFormat="1" applyFont="1" applyBorder="1" applyAlignment="1">
      <alignment horizontal="center"/>
    </xf>
    <xf numFmtId="9" fontId="0" fillId="0" borderId="1" xfId="0" applyNumberFormat="1" applyFont="1" applyBorder="1" applyAlignment="1">
      <alignment horizontal="center"/>
    </xf>
    <xf numFmtId="164" fontId="9" fillId="0" borderId="0" xfId="6" applyNumberFormat="1" applyFont="1" applyAlignment="1">
      <alignment horizontal="center" vertical="center"/>
    </xf>
    <xf numFmtId="0" fontId="0" fillId="0" borderId="0" xfId="0" applyFont="1" applyBorder="1" applyAlignment="1">
      <alignment horizontal="center"/>
    </xf>
    <xf numFmtId="164" fontId="9" fillId="0" borderId="0" xfId="0" applyNumberFormat="1" applyFont="1" applyAlignment="1">
      <alignment horizontal="center"/>
    </xf>
    <xf numFmtId="0" fontId="0" fillId="0" borderId="17" xfId="0" applyFont="1" applyBorder="1" applyAlignment="1">
      <alignment horizontal="center"/>
    </xf>
    <xf numFmtId="9" fontId="0" fillId="0" borderId="5" xfId="0" applyNumberFormat="1" applyFont="1" applyBorder="1" applyAlignment="1">
      <alignment horizontal="center"/>
    </xf>
    <xf numFmtId="6" fontId="0" fillId="0" borderId="5" xfId="0" applyNumberFormat="1" applyFont="1" applyBorder="1" applyAlignment="1">
      <alignment horizontal="center"/>
    </xf>
    <xf numFmtId="0" fontId="0" fillId="0" borderId="6" xfId="0" applyFont="1" applyBorder="1" applyAlignment="1">
      <alignment horizontal="center"/>
    </xf>
    <xf numFmtId="0" fontId="0" fillId="0" borderId="5" xfId="0" applyFont="1" applyBorder="1" applyAlignment="1">
      <alignment horizontal="center"/>
    </xf>
    <xf numFmtId="1" fontId="19" fillId="2" borderId="16" xfId="0" applyNumberFormat="1" applyFont="1" applyFill="1" applyBorder="1" applyAlignment="1">
      <alignment horizontal="center"/>
    </xf>
    <xf numFmtId="1" fontId="19" fillId="2" borderId="1" xfId="0" applyNumberFormat="1" applyFont="1" applyFill="1" applyBorder="1" applyAlignment="1">
      <alignment horizontal="center"/>
    </xf>
    <xf numFmtId="164" fontId="19" fillId="2" borderId="0" xfId="0" applyNumberFormat="1" applyFont="1" applyFill="1" applyBorder="1" applyAlignment="1">
      <alignment horizontal="center"/>
    </xf>
    <xf numFmtId="1" fontId="9" fillId="0" borderId="0" xfId="0" applyNumberFormat="1" applyFont="1" applyBorder="1" applyAlignment="1">
      <alignment horizontal="center"/>
    </xf>
    <xf numFmtId="0" fontId="0" fillId="0" borderId="1" xfId="0" applyFont="1" applyBorder="1" applyAlignment="1">
      <alignment horizontal="center"/>
    </xf>
    <xf numFmtId="1" fontId="9" fillId="0" borderId="0" xfId="0" applyNumberFormat="1" applyFont="1" applyBorder="1" applyAlignment="1"/>
    <xf numFmtId="164" fontId="9" fillId="0" borderId="0" xfId="6" applyNumberFormat="1" applyFont="1" applyBorder="1" applyAlignment="1">
      <alignment horizontal="center" vertical="center"/>
    </xf>
    <xf numFmtId="1" fontId="15" fillId="0" borderId="6" xfId="0" applyNumberFormat="1" applyFont="1" applyFill="1" applyBorder="1" applyAlignment="1">
      <alignment horizontal="center"/>
    </xf>
    <xf numFmtId="0" fontId="9" fillId="0" borderId="0" xfId="0" applyFont="1" applyAlignment="1">
      <alignment horizontal="center" vertical="center"/>
    </xf>
    <xf numFmtId="11" fontId="19" fillId="2" borderId="0" xfId="0" applyNumberFormat="1" applyFont="1" applyFill="1" applyAlignment="1">
      <alignment horizontal="center"/>
    </xf>
    <xf numFmtId="164" fontId="0" fillId="0" borderId="0" xfId="0" applyNumberFormat="1" applyFont="1" applyBorder="1" applyAlignment="1">
      <alignment horizontal="center"/>
    </xf>
    <xf numFmtId="164" fontId="0" fillId="0" borderId="5" xfId="0" applyNumberFormat="1" applyFont="1" applyBorder="1" applyAlignment="1">
      <alignment horizontal="center"/>
    </xf>
    <xf numFmtId="171" fontId="19" fillId="2" borderId="0" xfId="0" applyNumberFormat="1" applyFont="1" applyFill="1" applyAlignment="1">
      <alignment horizontal="center"/>
    </xf>
    <xf numFmtId="164" fontId="19" fillId="2" borderId="26" xfId="0" applyNumberFormat="1" applyFont="1" applyFill="1" applyBorder="1" applyAlignment="1">
      <alignment horizontal="center"/>
    </xf>
    <xf numFmtId="164" fontId="19" fillId="2" borderId="27" xfId="0" applyNumberFormat="1" applyFont="1" applyFill="1" applyBorder="1" applyAlignment="1">
      <alignment horizontal="center"/>
    </xf>
    <xf numFmtId="1" fontId="15" fillId="6" borderId="0" xfId="0" applyNumberFormat="1" applyFont="1" applyFill="1" applyBorder="1" applyAlignment="1">
      <alignment horizontal="center"/>
    </xf>
    <xf numFmtId="0" fontId="0" fillId="6" borderId="16" xfId="0" applyFont="1" applyFill="1" applyBorder="1" applyAlignment="1">
      <alignment horizontal="center"/>
    </xf>
    <xf numFmtId="9" fontId="0" fillId="6" borderId="0" xfId="0" applyNumberFormat="1" applyFont="1" applyFill="1" applyBorder="1" applyAlignment="1">
      <alignment horizontal="center"/>
    </xf>
    <xf numFmtId="6" fontId="0" fillId="6" borderId="0" xfId="0" applyNumberFormat="1" applyFont="1" applyFill="1" applyBorder="1" applyAlignment="1">
      <alignment horizontal="center"/>
    </xf>
    <xf numFmtId="0" fontId="0" fillId="6" borderId="1" xfId="0" applyFont="1" applyFill="1" applyBorder="1" applyAlignment="1">
      <alignment horizontal="center"/>
    </xf>
    <xf numFmtId="164" fontId="9" fillId="6" borderId="0" xfId="0" applyNumberFormat="1" applyFont="1" applyFill="1" applyAlignment="1">
      <alignment horizontal="center"/>
    </xf>
    <xf numFmtId="11" fontId="56" fillId="6" borderId="0" xfId="0" applyNumberFormat="1" applyFont="1" applyFill="1" applyAlignment="1">
      <alignment horizontal="center" vertical="center"/>
    </xf>
    <xf numFmtId="11" fontId="9" fillId="6" borderId="0" xfId="0" applyNumberFormat="1" applyFont="1" applyFill="1" applyAlignment="1">
      <alignment horizontal="center" vertical="center"/>
    </xf>
    <xf numFmtId="0" fontId="9" fillId="6" borderId="0" xfId="0" applyFont="1" applyFill="1" applyAlignment="1">
      <alignment horizontal="center"/>
    </xf>
    <xf numFmtId="9" fontId="0" fillId="6" borderId="1" xfId="0" applyNumberFormat="1" applyFont="1" applyFill="1" applyBorder="1" applyAlignment="1">
      <alignment horizontal="center"/>
    </xf>
    <xf numFmtId="164" fontId="0" fillId="6" borderId="0" xfId="0" applyNumberFormat="1" applyFont="1" applyFill="1" applyBorder="1" applyAlignment="1">
      <alignment horizontal="center"/>
    </xf>
    <xf numFmtId="164" fontId="9" fillId="6" borderId="0" xfId="0" applyNumberFormat="1" applyFont="1" applyFill="1" applyBorder="1" applyAlignment="1">
      <alignment horizontal="center"/>
    </xf>
    <xf numFmtId="1" fontId="15" fillId="0" borderId="18" xfId="0" applyNumberFormat="1" applyFont="1" applyFill="1" applyBorder="1" applyAlignment="1">
      <alignment horizontal="center"/>
    </xf>
    <xf numFmtId="0" fontId="15" fillId="0" borderId="28" xfId="0" applyFont="1" applyBorder="1" applyAlignment="1">
      <alignment horizontal="center"/>
    </xf>
    <xf numFmtId="0" fontId="15" fillId="0" borderId="18" xfId="0" applyFont="1" applyBorder="1" applyAlignment="1">
      <alignment horizontal="center"/>
    </xf>
    <xf numFmtId="0" fontId="15" fillId="0" borderId="29" xfId="0" applyFont="1" applyBorder="1" applyAlignment="1">
      <alignment horizontal="center"/>
    </xf>
    <xf numFmtId="1" fontId="23" fillId="0" borderId="18" xfId="6" applyNumberFormat="1" applyFont="1" applyFill="1" applyBorder="1" applyAlignment="1">
      <alignment horizontal="center" vertical="center"/>
    </xf>
    <xf numFmtId="0" fontId="0" fillId="0" borderId="5" xfId="0" applyFont="1" applyBorder="1" applyAlignment="1">
      <alignment horizontal="center"/>
    </xf>
    <xf numFmtId="0" fontId="0" fillId="0" borderId="0" xfId="0" applyFont="1" applyBorder="1" applyAlignment="1">
      <alignment horizontal="center"/>
    </xf>
    <xf numFmtId="0" fontId="0" fillId="0" borderId="0" xfId="0" applyBorder="1"/>
    <xf numFmtId="0" fontId="0" fillId="0" borderId="6" xfId="0" applyBorder="1"/>
    <xf numFmtId="0" fontId="0" fillId="0" borderId="0" xfId="0" applyAlignment="1">
      <alignment horizontal="left"/>
    </xf>
    <xf numFmtId="0" fontId="57" fillId="0" borderId="0" xfId="0" applyFont="1"/>
    <xf numFmtId="0" fontId="57" fillId="0" borderId="5" xfId="0" applyFont="1" applyBorder="1"/>
    <xf numFmtId="0" fontId="9" fillId="0" borderId="5" xfId="0" applyFont="1" applyBorder="1"/>
    <xf numFmtId="0" fontId="23" fillId="0" borderId="0" xfId="0" applyFont="1"/>
    <xf numFmtId="0" fontId="14" fillId="0" borderId="2" xfId="0" applyFont="1" applyBorder="1" applyAlignment="1">
      <alignment horizontal="center" vertical="center"/>
    </xf>
    <xf numFmtId="168" fontId="9" fillId="0" borderId="0" xfId="0" applyNumberFormat="1" applyFont="1" applyAlignment="1">
      <alignment horizontal="center" vertical="center"/>
    </xf>
    <xf numFmtId="168" fontId="9" fillId="0" borderId="5" xfId="0" applyNumberFormat="1" applyFont="1" applyBorder="1"/>
    <xf numFmtId="168" fontId="23" fillId="0" borderId="2" xfId="0" applyNumberFormat="1" applyFont="1" applyBorder="1" applyAlignment="1">
      <alignment horizontal="center" vertical="center"/>
    </xf>
    <xf numFmtId="168" fontId="14" fillId="0" borderId="2" xfId="0" applyNumberFormat="1" applyFont="1" applyBorder="1" applyAlignment="1">
      <alignment horizontal="center" vertical="center"/>
    </xf>
    <xf numFmtId="164" fontId="23" fillId="0" borderId="0" xfId="0" applyNumberFormat="1" applyFont="1"/>
    <xf numFmtId="164" fontId="23" fillId="0" borderId="2" xfId="0" applyNumberFormat="1" applyFont="1" applyBorder="1" applyAlignment="1">
      <alignment horizontal="center" vertical="center"/>
    </xf>
    <xf numFmtId="164" fontId="14" fillId="0" borderId="2" xfId="0" applyNumberFormat="1" applyFont="1" applyBorder="1" applyAlignment="1">
      <alignment horizontal="center" vertical="center"/>
    </xf>
    <xf numFmtId="164" fontId="19" fillId="2" borderId="0" xfId="0" applyNumberFormat="1" applyFont="1" applyFill="1"/>
    <xf numFmtId="164" fontId="19" fillId="2" borderId="0" xfId="0" applyNumberFormat="1" applyFont="1" applyFill="1" applyAlignment="1">
      <alignment horizontal="center"/>
    </xf>
    <xf numFmtId="164" fontId="5" fillId="2" borderId="0" xfId="0" applyNumberFormat="1" applyFont="1" applyFill="1"/>
    <xf numFmtId="164" fontId="5" fillId="2" borderId="27" xfId="0" applyNumberFormat="1" applyFont="1" applyFill="1" applyBorder="1" applyAlignment="1">
      <alignment horizontal="center" vertical="center"/>
    </xf>
    <xf numFmtId="164" fontId="6" fillId="2" borderId="27" xfId="0" applyNumberFormat="1" applyFont="1" applyFill="1" applyBorder="1" applyAlignment="1">
      <alignment horizontal="center" vertical="center"/>
    </xf>
    <xf numFmtId="0" fontId="9" fillId="0" borderId="0" xfId="0" applyFont="1" applyBorder="1"/>
    <xf numFmtId="168" fontId="9" fillId="0" borderId="0" xfId="0" applyNumberFormat="1" applyFont="1" applyBorder="1"/>
    <xf numFmtId="0" fontId="23" fillId="0" borderId="0" xfId="0" applyFont="1" applyBorder="1"/>
    <xf numFmtId="0" fontId="9" fillId="0" borderId="0" xfId="0" applyFont="1" applyAlignment="1">
      <alignment vertical="center"/>
    </xf>
    <xf numFmtId="0" fontId="9" fillId="0" borderId="5" xfId="0" applyFont="1" applyBorder="1" applyAlignment="1">
      <alignment vertical="center"/>
    </xf>
    <xf numFmtId="0" fontId="5" fillId="2" borderId="0" xfId="0" applyFont="1" applyFill="1" applyAlignment="1"/>
    <xf numFmtId="0" fontId="5" fillId="2" borderId="27" xfId="0" applyFont="1" applyFill="1" applyBorder="1" applyAlignment="1"/>
    <xf numFmtId="0" fontId="5" fillId="2" borderId="26" xfId="0" applyFont="1" applyFill="1" applyBorder="1" applyAlignment="1"/>
    <xf numFmtId="0" fontId="0" fillId="0" borderId="9" xfId="0" applyFont="1" applyBorder="1" applyAlignment="1">
      <alignment vertical="center"/>
    </xf>
    <xf numFmtId="0" fontId="0" fillId="6" borderId="0" xfId="0" applyFont="1" applyFill="1" applyAlignment="1">
      <alignment vertical="center"/>
    </xf>
    <xf numFmtId="0" fontId="0" fillId="0" borderId="0" xfId="0" applyFont="1" applyAlignment="1">
      <alignment vertical="center"/>
    </xf>
    <xf numFmtId="0" fontId="5" fillId="2" borderId="0" xfId="0" applyFont="1" applyFill="1" applyBorder="1" applyAlignment="1">
      <alignment vertical="center"/>
    </xf>
    <xf numFmtId="0" fontId="9" fillId="0" borderId="9" xfId="0" applyFont="1" applyBorder="1" applyAlignment="1">
      <alignment vertical="center"/>
    </xf>
    <xf numFmtId="0" fontId="9" fillId="6" borderId="0" xfId="0" applyFont="1" applyFill="1" applyAlignment="1">
      <alignment vertical="center"/>
    </xf>
    <xf numFmtId="0" fontId="9" fillId="0" borderId="9" xfId="0" applyFont="1" applyFill="1" applyBorder="1" applyAlignment="1">
      <alignment vertical="center"/>
    </xf>
    <xf numFmtId="0" fontId="9" fillId="0" borderId="0" xfId="0" applyFont="1" applyFill="1" applyAlignment="1">
      <alignment vertical="center"/>
    </xf>
    <xf numFmtId="0" fontId="5" fillId="0" borderId="0" xfId="0" applyFont="1" applyFill="1" applyBorder="1" applyAlignment="1">
      <alignment vertical="center"/>
    </xf>
    <xf numFmtId="0" fontId="0" fillId="0" borderId="9" xfId="0" applyFont="1" applyFill="1" applyBorder="1" applyAlignment="1">
      <alignment vertical="center"/>
    </xf>
    <xf numFmtId="0" fontId="0" fillId="0" borderId="0" xfId="0" applyFont="1" applyFill="1" applyAlignment="1">
      <alignment vertical="center"/>
    </xf>
    <xf numFmtId="1" fontId="9" fillId="0" borderId="2" xfId="0" applyNumberFormat="1" applyFont="1" applyBorder="1" applyAlignment="1">
      <alignment horizontal="center"/>
    </xf>
    <xf numFmtId="172" fontId="0" fillId="0" borderId="16" xfId="0" applyNumberFormat="1" applyBorder="1"/>
    <xf numFmtId="172" fontId="0" fillId="0" borderId="0" xfId="0" applyNumberFormat="1" applyBorder="1"/>
    <xf numFmtId="172" fontId="0" fillId="0" borderId="0" xfId="0" applyNumberFormat="1" applyFont="1" applyBorder="1" applyAlignment="1">
      <alignment horizontal="center"/>
    </xf>
    <xf numFmtId="172" fontId="0" fillId="0" borderId="1" xfId="0" applyNumberFormat="1" applyBorder="1"/>
    <xf numFmtId="172" fontId="0" fillId="0" borderId="17" xfId="0" applyNumberFormat="1" applyBorder="1"/>
    <xf numFmtId="172" fontId="0" fillId="0" borderId="5" xfId="0" applyNumberFormat="1" applyBorder="1"/>
    <xf numFmtId="172" fontId="0" fillId="0" borderId="5" xfId="0" applyNumberFormat="1" applyFont="1" applyBorder="1" applyAlignment="1">
      <alignment horizontal="center"/>
    </xf>
    <xf numFmtId="172" fontId="0" fillId="0" borderId="6" xfId="0" applyNumberFormat="1" applyBorder="1"/>
    <xf numFmtId="0" fontId="14" fillId="0" borderId="21" xfId="0" applyFont="1" applyFill="1" applyBorder="1" applyAlignment="1">
      <alignment horizontal="center" vertical="center"/>
    </xf>
    <xf numFmtId="0" fontId="14" fillId="0" borderId="2" xfId="0" applyFont="1" applyBorder="1" applyAlignment="1">
      <alignment horizontal="center"/>
    </xf>
    <xf numFmtId="0" fontId="14" fillId="0" borderId="3" xfId="0" applyFont="1" applyBorder="1" applyAlignment="1">
      <alignment horizontal="center"/>
    </xf>
    <xf numFmtId="0" fontId="5" fillId="2" borderId="0" xfId="0" applyFont="1" applyFill="1"/>
    <xf numFmtId="169" fontId="0" fillId="0" borderId="16" xfId="0" applyNumberFormat="1" applyBorder="1" applyAlignment="1">
      <alignment horizontal="center"/>
    </xf>
    <xf numFmtId="169" fontId="0" fillId="0" borderId="0" xfId="0" applyNumberFormat="1" applyFont="1" applyBorder="1" applyAlignment="1">
      <alignment horizontal="center"/>
    </xf>
    <xf numFmtId="169" fontId="0" fillId="0" borderId="1" xfId="0" applyNumberFormat="1" applyBorder="1" applyAlignment="1">
      <alignment horizontal="center"/>
    </xf>
    <xf numFmtId="169" fontId="0" fillId="0" borderId="17" xfId="0" applyNumberFormat="1" applyBorder="1" applyAlignment="1">
      <alignment horizontal="center"/>
    </xf>
    <xf numFmtId="169" fontId="0" fillId="0" borderId="5" xfId="0" applyNumberFormat="1" applyFont="1" applyBorder="1" applyAlignment="1">
      <alignment horizontal="center"/>
    </xf>
    <xf numFmtId="169" fontId="0" fillId="0" borderId="6" xfId="0" applyNumberFormat="1" applyBorder="1" applyAlignment="1">
      <alignment horizontal="center"/>
    </xf>
    <xf numFmtId="172" fontId="0" fillId="0" borderId="0" xfId="0" applyNumberFormat="1" applyFill="1" applyBorder="1" applyAlignment="1">
      <alignment horizontal="center"/>
    </xf>
    <xf numFmtId="172" fontId="0" fillId="0" borderId="5" xfId="0" applyNumberFormat="1" applyFill="1" applyBorder="1" applyAlignment="1">
      <alignment horizontal="center"/>
    </xf>
    <xf numFmtId="171" fontId="0" fillId="0" borderId="16" xfId="0" applyNumberFormat="1" applyBorder="1" applyAlignment="1">
      <alignment horizontal="center"/>
    </xf>
    <xf numFmtId="171" fontId="0" fillId="0" borderId="0" xfId="0" applyNumberFormat="1" applyBorder="1" applyAlignment="1">
      <alignment horizontal="center"/>
    </xf>
    <xf numFmtId="171" fontId="0" fillId="0" borderId="0" xfId="0" applyNumberFormat="1" applyFont="1" applyBorder="1" applyAlignment="1">
      <alignment horizontal="center"/>
    </xf>
    <xf numFmtId="171" fontId="0" fillId="0" borderId="1" xfId="0" applyNumberFormat="1" applyBorder="1" applyAlignment="1">
      <alignment horizontal="center"/>
    </xf>
    <xf numFmtId="171" fontId="0" fillId="0" borderId="17" xfId="0" applyNumberFormat="1" applyBorder="1" applyAlignment="1">
      <alignment horizontal="center"/>
    </xf>
    <xf numFmtId="171" fontId="0" fillId="0" borderId="5" xfId="0" applyNumberFormat="1" applyBorder="1" applyAlignment="1">
      <alignment horizontal="center"/>
    </xf>
    <xf numFmtId="171" fontId="0" fillId="0" borderId="5" xfId="0" applyNumberFormat="1" applyFont="1" applyBorder="1" applyAlignment="1">
      <alignment horizontal="center"/>
    </xf>
    <xf numFmtId="171" fontId="0" fillId="0" borderId="6" xfId="0" applyNumberFormat="1" applyBorder="1" applyAlignment="1">
      <alignment horizontal="center"/>
    </xf>
    <xf numFmtId="171" fontId="5" fillId="2" borderId="0" xfId="0" applyNumberFormat="1" applyFont="1" applyFill="1"/>
    <xf numFmtId="171" fontId="19" fillId="2" borderId="0" xfId="0" applyNumberFormat="1" applyFont="1" applyFill="1"/>
    <xf numFmtId="171" fontId="0" fillId="0" borderId="0" xfId="0" applyNumberFormat="1" applyFont="1"/>
    <xf numFmtId="0" fontId="15" fillId="0" borderId="0" xfId="0" applyFont="1" applyFill="1" applyBorder="1" applyAlignment="1">
      <alignment horizontal="center" vertical="center"/>
    </xf>
    <xf numFmtId="164" fontId="0" fillId="0" borderId="0" xfId="0" applyNumberFormat="1" applyFont="1"/>
    <xf numFmtId="0" fontId="14" fillId="0" borderId="0" xfId="0" applyFont="1" applyFill="1" applyBorder="1" applyAlignment="1">
      <alignment horizontal="center"/>
    </xf>
    <xf numFmtId="171" fontId="0" fillId="0" borderId="0" xfId="0" applyNumberFormat="1"/>
    <xf numFmtId="1" fontId="19" fillId="2" borderId="0" xfId="0" applyNumberFormat="1" applyFont="1" applyFill="1" applyAlignment="1">
      <alignment horizontal="center" vertical="center" wrapText="1"/>
    </xf>
    <xf numFmtId="0" fontId="19" fillId="2" borderId="27" xfId="0" applyFont="1" applyFill="1" applyBorder="1" applyAlignment="1">
      <alignment horizontal="center" vertical="center" wrapText="1"/>
    </xf>
    <xf numFmtId="164" fontId="19" fillId="2" borderId="27" xfId="0" applyNumberFormat="1" applyFont="1" applyFill="1" applyBorder="1"/>
    <xf numFmtId="0" fontId="9" fillId="0" borderId="0" xfId="0" applyFont="1" applyFill="1" applyBorder="1"/>
    <xf numFmtId="164" fontId="19" fillId="2" borderId="0" xfId="0" applyNumberFormat="1" applyFont="1" applyFill="1" applyBorder="1" applyAlignment="1">
      <alignment horizontal="center" vertical="center"/>
    </xf>
    <xf numFmtId="164" fontId="19" fillId="2" borderId="27" xfId="0" applyNumberFormat="1" applyFont="1" applyFill="1" applyBorder="1" applyAlignment="1">
      <alignment horizontal="center" vertical="center"/>
    </xf>
    <xf numFmtId="164" fontId="19" fillId="2" borderId="30" xfId="0" applyNumberFormat="1" applyFont="1" applyFill="1" applyBorder="1"/>
    <xf numFmtId="164" fontId="19" fillId="2" borderId="30" xfId="0" applyNumberFormat="1" applyFont="1" applyFill="1" applyBorder="1" applyAlignment="1">
      <alignment horizontal="center" vertical="center"/>
    </xf>
    <xf numFmtId="0" fontId="14" fillId="0" borderId="0" xfId="0" applyFont="1" applyBorder="1" applyAlignment="1">
      <alignment horizontal="center" vertical="center"/>
    </xf>
    <xf numFmtId="164" fontId="14" fillId="0" borderId="0" xfId="0" applyNumberFormat="1" applyFont="1" applyBorder="1" applyAlignment="1">
      <alignment horizontal="center" vertical="center"/>
    </xf>
    <xf numFmtId="0" fontId="19" fillId="2" borderId="0" xfId="0" applyFont="1" applyFill="1" applyAlignment="1">
      <alignment horizontal="center"/>
    </xf>
    <xf numFmtId="0" fontId="0" fillId="0" borderId="0" xfId="0" applyAlignment="1">
      <alignment horizontal="center"/>
    </xf>
    <xf numFmtId="0" fontId="0" fillId="0" borderId="5" xfId="0" applyFont="1" applyBorder="1" applyAlignment="1">
      <alignment horizontal="center" vertical="center" wrapText="1"/>
    </xf>
    <xf numFmtId="0" fontId="0" fillId="0" borderId="5" xfId="0" applyBorder="1" applyAlignment="1">
      <alignment horizontal="center" vertical="center" wrapText="1"/>
    </xf>
    <xf numFmtId="0" fontId="59" fillId="0" borderId="0" xfId="0" applyFont="1"/>
    <xf numFmtId="166" fontId="54" fillId="0" borderId="0" xfId="0" applyNumberFormat="1" applyFont="1" applyBorder="1" applyAlignment="1">
      <alignment horizontal="center" vertical="center" wrapText="1"/>
    </xf>
    <xf numFmtId="168" fontId="54" fillId="0" borderId="0" xfId="0" applyNumberFormat="1" applyFont="1" applyBorder="1" applyAlignment="1">
      <alignment horizontal="center" vertical="center" wrapText="1"/>
    </xf>
    <xf numFmtId="166" fontId="54" fillId="0" borderId="1" xfId="0" applyNumberFormat="1" applyFont="1" applyBorder="1" applyAlignment="1">
      <alignment horizontal="center"/>
    </xf>
    <xf numFmtId="168" fontId="54" fillId="0" borderId="0" xfId="0" applyNumberFormat="1" applyFont="1" applyFill="1" applyBorder="1" applyAlignment="1">
      <alignment horizontal="center" vertical="center" wrapText="1"/>
    </xf>
    <xf numFmtId="0" fontId="53" fillId="6" borderId="0" xfId="0" applyFont="1" applyFill="1" applyBorder="1" applyAlignment="1">
      <alignment horizontal="center" vertical="center" wrapText="1"/>
    </xf>
    <xf numFmtId="2" fontId="53" fillId="6" borderId="0" xfId="0" applyNumberFormat="1" applyFont="1" applyFill="1" applyBorder="1" applyAlignment="1">
      <alignment horizontal="center" vertical="center" wrapText="1"/>
    </xf>
    <xf numFmtId="1" fontId="53" fillId="6" borderId="0" xfId="0" applyNumberFormat="1" applyFont="1" applyFill="1" applyBorder="1" applyAlignment="1">
      <alignment horizontal="center" vertical="center" wrapText="1"/>
    </xf>
    <xf numFmtId="1" fontId="53" fillId="6" borderId="1" xfId="0" applyNumberFormat="1" applyFont="1" applyFill="1" applyBorder="1" applyAlignment="1">
      <alignment horizontal="center" vertical="center" wrapText="1"/>
    </xf>
    <xf numFmtId="166" fontId="53" fillId="6" borderId="0" xfId="0" applyNumberFormat="1" applyFont="1" applyFill="1" applyBorder="1" applyAlignment="1">
      <alignment horizontal="center" vertical="center" wrapText="1"/>
    </xf>
    <xf numFmtId="168" fontId="53" fillId="6" borderId="0" xfId="0" applyNumberFormat="1" applyFont="1" applyFill="1" applyBorder="1" applyAlignment="1">
      <alignment horizontal="center" vertical="center" wrapText="1"/>
    </xf>
    <xf numFmtId="166" fontId="53" fillId="6" borderId="1" xfId="0" applyNumberFormat="1" applyFont="1" applyFill="1" applyBorder="1" applyAlignment="1">
      <alignment horizontal="center"/>
    </xf>
    <xf numFmtId="2" fontId="54" fillId="6" borderId="0" xfId="0" applyNumberFormat="1" applyFont="1" applyFill="1" applyBorder="1" applyAlignment="1">
      <alignment horizontal="center" vertical="center" wrapText="1"/>
    </xf>
    <xf numFmtId="1" fontId="54" fillId="6" borderId="0" xfId="0" applyNumberFormat="1" applyFont="1" applyFill="1" applyBorder="1" applyAlignment="1">
      <alignment horizontal="center" vertical="center" wrapText="1"/>
    </xf>
    <xf numFmtId="1" fontId="54" fillId="6" borderId="1" xfId="0" applyNumberFormat="1" applyFont="1" applyFill="1" applyBorder="1" applyAlignment="1">
      <alignment horizontal="center" vertical="center" wrapText="1"/>
    </xf>
    <xf numFmtId="166" fontId="54" fillId="6" borderId="0" xfId="0" applyNumberFormat="1" applyFont="1" applyFill="1" applyBorder="1" applyAlignment="1">
      <alignment horizontal="center" vertical="center" wrapText="1"/>
    </xf>
    <xf numFmtId="168" fontId="54" fillId="6" borderId="0" xfId="0" applyNumberFormat="1" applyFont="1" applyFill="1" applyBorder="1" applyAlignment="1">
      <alignment horizontal="center" vertical="center" wrapText="1"/>
    </xf>
    <xf numFmtId="166" fontId="54" fillId="6" borderId="1" xfId="0" applyNumberFormat="1" applyFont="1" applyFill="1" applyBorder="1" applyAlignment="1">
      <alignment horizontal="center"/>
    </xf>
    <xf numFmtId="2" fontId="54" fillId="6" borderId="0" xfId="0" applyNumberFormat="1" applyFont="1" applyFill="1" applyAlignment="1">
      <alignment horizontal="center" vertical="center" wrapText="1"/>
    </xf>
    <xf numFmtId="1" fontId="53" fillId="6" borderId="1" xfId="0" applyNumberFormat="1" applyFont="1" applyFill="1" applyBorder="1" applyAlignment="1">
      <alignment horizontal="center"/>
    </xf>
    <xf numFmtId="164" fontId="9" fillId="0" borderId="0" xfId="0" applyNumberFormat="1" applyFont="1" applyFill="1" applyAlignment="1">
      <alignment horizontal="center"/>
    </xf>
    <xf numFmtId="164" fontId="19" fillId="0" borderId="0" xfId="0" applyNumberFormat="1" applyFont="1" applyFill="1" applyAlignment="1">
      <alignment horizontal="center"/>
    </xf>
    <xf numFmtId="164" fontId="9" fillId="0" borderId="0" xfId="0" applyNumberFormat="1" applyFont="1" applyFill="1"/>
    <xf numFmtId="164" fontId="14" fillId="0" borderId="0" xfId="0" applyNumberFormat="1" applyFont="1" applyFill="1" applyBorder="1" applyAlignment="1">
      <alignment horizontal="center" vertical="center"/>
    </xf>
    <xf numFmtId="0" fontId="9" fillId="0" borderId="0" xfId="0" applyFont="1" applyFill="1"/>
    <xf numFmtId="0" fontId="19" fillId="2" borderId="27" xfId="0" applyFont="1" applyFill="1" applyBorder="1" applyAlignment="1">
      <alignment horizontal="center"/>
    </xf>
    <xf numFmtId="0" fontId="35" fillId="0" borderId="5" xfId="6" applyFont="1" applyBorder="1" applyAlignment="1"/>
    <xf numFmtId="0" fontId="38" fillId="0" borderId="28" xfId="6" applyFont="1" applyFill="1" applyBorder="1" applyAlignment="1">
      <alignment horizontal="left" wrapText="1"/>
    </xf>
    <xf numFmtId="0" fontId="60" fillId="0" borderId="18" xfId="6" applyFont="1" applyBorder="1" applyAlignment="1">
      <alignment wrapText="1"/>
    </xf>
    <xf numFmtId="0" fontId="60" fillId="0" borderId="29" xfId="6" applyFont="1" applyBorder="1" applyAlignment="1">
      <alignment wrapText="1"/>
    </xf>
    <xf numFmtId="0" fontId="1" fillId="0" borderId="0" xfId="0" applyFont="1" applyAlignment="1">
      <alignment horizontal="center" vertical="center"/>
    </xf>
    <xf numFmtId="164" fontId="1" fillId="0" borderId="11" xfId="0" applyNumberFormat="1" applyFont="1" applyBorder="1" applyAlignment="1">
      <alignment horizontal="center" vertical="center"/>
    </xf>
    <xf numFmtId="164" fontId="1" fillId="0" borderId="22" xfId="0" applyNumberFormat="1" applyFont="1" applyBorder="1" applyAlignment="1">
      <alignment horizontal="center" vertical="center"/>
    </xf>
    <xf numFmtId="164" fontId="1" fillId="0" borderId="12" xfId="0" applyNumberFormat="1" applyFont="1" applyBorder="1" applyAlignment="1">
      <alignment horizontal="center" vertical="center"/>
    </xf>
    <xf numFmtId="164" fontId="1" fillId="0" borderId="24" xfId="0" applyNumberFormat="1" applyFont="1" applyBorder="1" applyAlignment="1">
      <alignment horizontal="center" vertical="center"/>
    </xf>
    <xf numFmtId="164" fontId="1" fillId="0" borderId="0" xfId="0" applyNumberFormat="1" applyFont="1" applyBorder="1" applyAlignment="1">
      <alignment horizontal="center" vertical="center"/>
    </xf>
    <xf numFmtId="164" fontId="1" fillId="0" borderId="25" xfId="0" applyNumberFormat="1" applyFont="1" applyBorder="1" applyAlignment="1">
      <alignment horizontal="center" vertical="center"/>
    </xf>
    <xf numFmtId="164" fontId="1" fillId="0" borderId="31" xfId="0" applyNumberFormat="1" applyFont="1" applyBorder="1" applyAlignment="1">
      <alignment horizontal="center" vertical="center"/>
    </xf>
    <xf numFmtId="164" fontId="1" fillId="0" borderId="5" xfId="0" applyNumberFormat="1" applyFont="1" applyBorder="1" applyAlignment="1">
      <alignment horizontal="center" vertical="center"/>
    </xf>
    <xf numFmtId="164" fontId="1" fillId="0" borderId="32" xfId="0" applyNumberFormat="1" applyFont="1" applyBorder="1" applyAlignment="1">
      <alignment horizontal="center" vertical="center"/>
    </xf>
    <xf numFmtId="164" fontId="1" fillId="0" borderId="13" xfId="0" applyNumberFormat="1" applyFont="1" applyBorder="1" applyAlignment="1">
      <alignment horizontal="center" vertical="center"/>
    </xf>
    <xf numFmtId="164" fontId="1" fillId="0" borderId="23" xfId="0" applyNumberFormat="1" applyFont="1" applyBorder="1" applyAlignment="1">
      <alignment horizontal="center" vertical="center"/>
    </xf>
    <xf numFmtId="164" fontId="1" fillId="0" borderId="14" xfId="0" applyNumberFormat="1" applyFont="1"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23" xfId="0" applyFont="1" applyBorder="1" applyAlignment="1">
      <alignment horizontal="center" vertical="center"/>
    </xf>
    <xf numFmtId="164" fontId="2" fillId="0" borderId="11" xfId="0" applyNumberFormat="1" applyFont="1" applyBorder="1" applyAlignment="1">
      <alignment horizontal="center" vertical="center"/>
    </xf>
    <xf numFmtId="164" fontId="2" fillId="0" borderId="22" xfId="0" applyNumberFormat="1" applyFont="1" applyBorder="1" applyAlignment="1">
      <alignment horizontal="center" vertical="center"/>
    </xf>
    <xf numFmtId="164" fontId="2" fillId="0" borderId="12" xfId="0" applyNumberFormat="1" applyFont="1" applyBorder="1" applyAlignment="1">
      <alignment horizontal="center" vertical="center"/>
    </xf>
    <xf numFmtId="164" fontId="2" fillId="0" borderId="1" xfId="0" applyNumberFormat="1" applyFont="1" applyBorder="1" applyAlignment="1">
      <alignment horizontal="center"/>
    </xf>
    <xf numFmtId="164" fontId="2" fillId="0" borderId="0" xfId="0" applyNumberFormat="1" applyFont="1" applyAlignment="1">
      <alignment horizontal="center"/>
    </xf>
    <xf numFmtId="0" fontId="62" fillId="0" borderId="0" xfId="0" applyFont="1"/>
    <xf numFmtId="0" fontId="0" fillId="0" borderId="33" xfId="0" applyBorder="1" applyAlignment="1">
      <alignment horizontal="center"/>
    </xf>
    <xf numFmtId="0" fontId="0" fillId="0" borderId="34" xfId="0" applyFill="1" applyBorder="1" applyAlignment="1">
      <alignment horizontal="center"/>
    </xf>
    <xf numFmtId="164" fontId="0" fillId="0" borderId="34" xfId="0" applyNumberFormat="1" applyBorder="1" applyAlignment="1">
      <alignment horizontal="center"/>
    </xf>
    <xf numFmtId="0" fontId="0" fillId="0" borderId="5" xfId="0" applyBorder="1" applyAlignment="1">
      <alignment horizontal="center"/>
    </xf>
    <xf numFmtId="0" fontId="0" fillId="0" borderId="5" xfId="0" applyBorder="1" applyAlignment="1">
      <alignment horizontal="left"/>
    </xf>
    <xf numFmtId="0" fontId="0" fillId="0" borderId="0" xfId="0" applyAlignment="1">
      <alignment horizontal="center"/>
    </xf>
    <xf numFmtId="0" fontId="0" fillId="0" borderId="0" xfId="0" applyAlignment="1">
      <alignment horizontal="center"/>
    </xf>
    <xf numFmtId="0" fontId="58" fillId="4" borderId="0" xfId="0" applyFont="1" applyFill="1" applyAlignment="1">
      <alignment horizontal="center" vertical="center" textRotation="90" wrapText="1"/>
    </xf>
    <xf numFmtId="0" fontId="15" fillId="0" borderId="3"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5" fillId="2" borderId="1" xfId="0" applyNumberFormat="1" applyFont="1" applyFill="1" applyBorder="1" applyAlignment="1">
      <alignment horizontal="center"/>
    </xf>
    <xf numFmtId="10" fontId="0" fillId="0" borderId="0" xfId="0" applyNumberFormat="1"/>
    <xf numFmtId="173" fontId="0" fillId="0" borderId="0" xfId="0" applyNumberFormat="1"/>
    <xf numFmtId="0" fontId="19" fillId="2" borderId="27" xfId="0" applyFont="1" applyFill="1" applyBorder="1" applyAlignment="1">
      <alignment horizontal="center" wrapText="1"/>
    </xf>
    <xf numFmtId="0" fontId="19" fillId="2" borderId="36" xfId="0" applyFont="1" applyFill="1" applyBorder="1" applyAlignment="1">
      <alignment horizontal="center" wrapText="1"/>
    </xf>
    <xf numFmtId="164" fontId="19" fillId="2" borderId="35" xfId="0" applyNumberFormat="1" applyFont="1" applyFill="1" applyBorder="1" applyAlignment="1">
      <alignment horizontal="center"/>
    </xf>
    <xf numFmtId="1" fontId="2" fillId="4" borderId="0" xfId="0" applyNumberFormat="1" applyFont="1" applyFill="1" applyBorder="1" applyAlignment="1">
      <alignment horizontal="center"/>
    </xf>
    <xf numFmtId="174" fontId="19" fillId="2" borderId="0" xfId="0" applyNumberFormat="1" applyFont="1" applyFill="1" applyAlignment="1">
      <alignment horizontal="center"/>
    </xf>
    <xf numFmtId="0" fontId="9" fillId="0" borderId="5" xfId="0" applyFont="1" applyFill="1" applyBorder="1" applyAlignment="1">
      <alignment vertical="center"/>
    </xf>
    <xf numFmtId="0" fontId="9" fillId="0" borderId="0" xfId="0" applyFont="1" applyFill="1" applyAlignment="1"/>
    <xf numFmtId="0" fontId="23" fillId="0" borderId="0" xfId="0" applyFont="1" applyFill="1" applyAlignment="1">
      <alignment horizontal="center" vertical="center"/>
    </xf>
    <xf numFmtId="0" fontId="9" fillId="0" borderId="5" xfId="0" applyFont="1" applyFill="1" applyBorder="1" applyAlignment="1"/>
    <xf numFmtId="0" fontId="23" fillId="0" borderId="0" xfId="0" applyFont="1" applyFill="1"/>
    <xf numFmtId="0" fontId="23" fillId="0" borderId="0" xfId="0" applyFont="1" applyFill="1" applyAlignment="1">
      <alignment horizontal="center" vertical="center" wrapText="1"/>
    </xf>
    <xf numFmtId="0" fontId="9" fillId="0" borderId="0" xfId="0" applyFont="1" applyFill="1" applyAlignment="1">
      <alignment horizontal="center" vertical="center"/>
    </xf>
    <xf numFmtId="0" fontId="23" fillId="0" borderId="2" xfId="0" applyFont="1" applyFill="1" applyBorder="1" applyAlignment="1">
      <alignment horizontal="center" vertical="center"/>
    </xf>
    <xf numFmtId="0" fontId="63" fillId="0" borderId="0" xfId="0" applyFont="1" applyFill="1" applyAlignment="1"/>
    <xf numFmtId="0" fontId="64" fillId="0" borderId="0" xfId="0" applyFont="1" applyFill="1" applyAlignment="1"/>
    <xf numFmtId="0" fontId="63" fillId="0" borderId="0" xfId="0" applyFont="1" applyFill="1" applyAlignment="1">
      <alignment horizontal="center" vertical="center"/>
    </xf>
    <xf numFmtId="0" fontId="64" fillId="0" borderId="5" xfId="0" applyFont="1" applyFill="1" applyBorder="1" applyAlignment="1"/>
    <xf numFmtId="0" fontId="63" fillId="0" borderId="0" xfId="0" applyFont="1" applyFill="1" applyAlignment="1">
      <alignment horizontal="center" vertical="center" wrapText="1"/>
    </xf>
    <xf numFmtId="0" fontId="64" fillId="0" borderId="5" xfId="0" applyFont="1" applyFill="1" applyBorder="1" applyAlignment="1">
      <alignment vertical="center"/>
    </xf>
    <xf numFmtId="0" fontId="64" fillId="0" borderId="0" xfId="0" applyFont="1" applyFill="1" applyAlignment="1">
      <alignment vertical="center"/>
    </xf>
    <xf numFmtId="164" fontId="19" fillId="2" borderId="35" xfId="0" applyNumberFormat="1" applyFont="1" applyFill="1" applyBorder="1"/>
    <xf numFmtId="164" fontId="6" fillId="2" borderId="36" xfId="0" applyNumberFormat="1" applyFont="1" applyFill="1" applyBorder="1" applyAlignment="1">
      <alignment horizontal="center" vertical="center"/>
    </xf>
    <xf numFmtId="164" fontId="19" fillId="2" borderId="35" xfId="0" applyNumberFormat="1" applyFont="1" applyFill="1" applyBorder="1" applyAlignment="1">
      <alignment horizontal="center" vertical="center"/>
    </xf>
    <xf numFmtId="164" fontId="19" fillId="2" borderId="36"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172" fontId="5" fillId="2" borderId="0" xfId="0" applyNumberFormat="1" applyFont="1" applyFill="1"/>
    <xf numFmtId="175" fontId="9" fillId="0" borderId="0" xfId="0" applyNumberFormat="1" applyFont="1" applyBorder="1"/>
    <xf numFmtId="164" fontId="1" fillId="0" borderId="4" xfId="0" applyNumberFormat="1" applyFont="1" applyBorder="1"/>
    <xf numFmtId="164" fontId="1" fillId="0" borderId="5" xfId="0" applyNumberFormat="1" applyFont="1" applyBorder="1"/>
    <xf numFmtId="164" fontId="1" fillId="0" borderId="18" xfId="0" applyNumberFormat="1" applyFont="1" applyBorder="1"/>
    <xf numFmtId="0" fontId="1" fillId="0" borderId="0" xfId="0" applyFont="1" applyBorder="1" applyAlignment="1">
      <alignment horizontal="center"/>
    </xf>
    <xf numFmtId="0" fontId="1" fillId="0" borderId="5" xfId="0" applyFont="1" applyBorder="1" applyAlignment="1">
      <alignment horizontal="center"/>
    </xf>
    <xf numFmtId="0" fontId="1" fillId="0" borderId="16" xfId="0" applyFont="1" applyBorder="1" applyAlignment="1">
      <alignment horizontal="center"/>
    </xf>
    <xf numFmtId="164" fontId="1" fillId="0" borderId="16" xfId="0" applyNumberFormat="1" applyFont="1" applyBorder="1"/>
    <xf numFmtId="0" fontId="1" fillId="0" borderId="1" xfId="0" applyFont="1" applyBorder="1" applyAlignment="1">
      <alignment horizontal="center"/>
    </xf>
    <xf numFmtId="164" fontId="1" fillId="0" borderId="1" xfId="0" applyNumberFormat="1" applyFont="1" applyBorder="1"/>
    <xf numFmtId="164" fontId="1" fillId="0" borderId="19" xfId="0" applyNumberFormat="1" applyFont="1" applyBorder="1"/>
    <xf numFmtId="164" fontId="1" fillId="0" borderId="34" xfId="0" applyNumberFormat="1" applyFont="1" applyBorder="1"/>
    <xf numFmtId="164" fontId="1" fillId="0" borderId="17" xfId="0" applyNumberFormat="1" applyFont="1" applyBorder="1"/>
    <xf numFmtId="164" fontId="1" fillId="0" borderId="6" xfId="0" applyNumberFormat="1" applyFont="1" applyBorder="1"/>
    <xf numFmtId="0" fontId="1" fillId="0" borderId="5" xfId="0" applyFont="1" applyBorder="1"/>
    <xf numFmtId="0" fontId="1" fillId="0" borderId="4" xfId="0" applyFont="1" applyBorder="1" applyAlignment="1">
      <alignment horizontal="center"/>
    </xf>
    <xf numFmtId="0" fontId="7" fillId="0" borderId="21" xfId="0" applyFont="1" applyBorder="1"/>
    <xf numFmtId="0" fontId="1" fillId="0" borderId="16" xfId="0" applyFont="1" applyBorder="1" applyAlignment="1">
      <alignment wrapText="1"/>
    </xf>
    <xf numFmtId="0" fontId="1" fillId="0" borderId="28" xfId="0" applyFont="1" applyBorder="1" applyAlignment="1">
      <alignment wrapText="1"/>
    </xf>
    <xf numFmtId="164" fontId="2" fillId="5" borderId="8" xfId="0" applyNumberFormat="1" applyFont="1" applyFill="1" applyBorder="1" applyAlignment="1">
      <alignment horizontal="center"/>
    </xf>
    <xf numFmtId="164" fontId="2" fillId="5" borderId="38" xfId="0" applyNumberFormat="1" applyFont="1" applyFill="1" applyBorder="1" applyAlignment="1">
      <alignment horizontal="center"/>
    </xf>
    <xf numFmtId="164" fontId="2" fillId="5" borderId="6" xfId="0" applyNumberFormat="1" applyFont="1" applyFill="1" applyBorder="1" applyAlignment="1">
      <alignment horizontal="center"/>
    </xf>
    <xf numFmtId="0" fontId="6" fillId="2" borderId="3" xfId="0" applyFont="1" applyFill="1" applyBorder="1" applyAlignment="1">
      <alignment horizontal="center"/>
    </xf>
    <xf numFmtId="164" fontId="6" fillId="2" borderId="2" xfId="0" applyNumberFormat="1" applyFont="1" applyFill="1" applyBorder="1" applyAlignment="1">
      <alignment horizontal="center"/>
    </xf>
    <xf numFmtId="164" fontId="6" fillId="2" borderId="3" xfId="0" applyNumberFormat="1" applyFont="1" applyFill="1" applyBorder="1" applyAlignment="1">
      <alignment horizontal="center"/>
    </xf>
    <xf numFmtId="164" fontId="2" fillId="5" borderId="39" xfId="0" applyNumberFormat="1" applyFont="1" applyFill="1" applyBorder="1" applyAlignment="1">
      <alignment horizontal="center"/>
    </xf>
    <xf numFmtId="0" fontId="1" fillId="0" borderId="16" xfId="0" applyFont="1" applyBorder="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164" fontId="1" fillId="0" borderId="16" xfId="0" applyNumberFormat="1" applyFont="1" applyBorder="1" applyAlignment="1">
      <alignment horizontal="center"/>
    </xf>
    <xf numFmtId="164" fontId="1" fillId="0" borderId="10" xfId="0" applyNumberFormat="1" applyFont="1" applyBorder="1" applyAlignment="1">
      <alignment horizontal="center"/>
    </xf>
    <xf numFmtId="164" fontId="1" fillId="0" borderId="4" xfId="0" applyNumberFormat="1" applyFont="1" applyBorder="1" applyAlignment="1">
      <alignment horizontal="center"/>
    </xf>
    <xf numFmtId="164" fontId="1" fillId="0" borderId="6" xfId="0" applyNumberFormat="1" applyFont="1" applyBorder="1" applyAlignment="1">
      <alignment horizontal="center"/>
    </xf>
    <xf numFmtId="164" fontId="1" fillId="0" borderId="17" xfId="0" applyNumberFormat="1" applyFont="1" applyBorder="1" applyAlignment="1">
      <alignment horizontal="center"/>
    </xf>
    <xf numFmtId="0" fontId="1" fillId="0" borderId="15" xfId="0" applyFont="1" applyBorder="1" applyAlignment="1">
      <alignment horizontal="center"/>
    </xf>
    <xf numFmtId="0" fontId="1" fillId="0" borderId="10" xfId="0" applyFont="1" applyBorder="1" applyAlignment="1">
      <alignment horizontal="center"/>
    </xf>
    <xf numFmtId="0" fontId="1" fillId="0" borderId="17" xfId="0" applyFont="1" applyBorder="1" applyAlignment="1">
      <alignment horizontal="center"/>
    </xf>
    <xf numFmtId="0" fontId="1" fillId="0" borderId="6"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1" fillId="0" borderId="16" xfId="0" applyFont="1"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164" fontId="1" fillId="0" borderId="4" xfId="0" applyNumberFormat="1" applyFont="1" applyFill="1" applyBorder="1"/>
    <xf numFmtId="164" fontId="1" fillId="0" borderId="0" xfId="0" applyNumberFormat="1" applyFont="1" applyFill="1" applyBorder="1"/>
    <xf numFmtId="164" fontId="1" fillId="0" borderId="5" xfId="0" applyNumberFormat="1" applyFont="1" applyFill="1" applyBorder="1"/>
    <xf numFmtId="164" fontId="1" fillId="0" borderId="15" xfId="0" applyNumberFormat="1" applyFont="1" applyFill="1" applyBorder="1"/>
    <xf numFmtId="164" fontId="1" fillId="0" borderId="16" xfId="0" applyNumberFormat="1" applyFont="1" applyFill="1" applyBorder="1"/>
    <xf numFmtId="164" fontId="1" fillId="0" borderId="17" xfId="0" applyNumberFormat="1" applyFont="1" applyFill="1" applyBorder="1"/>
    <xf numFmtId="164" fontId="1" fillId="0" borderId="10" xfId="0" applyNumberFormat="1" applyFont="1" applyFill="1" applyBorder="1"/>
    <xf numFmtId="164" fontId="1" fillId="0" borderId="1" xfId="0" applyNumberFormat="1" applyFont="1" applyFill="1" applyBorder="1"/>
    <xf numFmtId="164" fontId="1" fillId="0" borderId="6" xfId="0" applyNumberFormat="1" applyFont="1" applyFill="1" applyBorder="1"/>
    <xf numFmtId="164" fontId="1" fillId="0" borderId="15" xfId="0" applyNumberFormat="1" applyFont="1" applyBorder="1"/>
    <xf numFmtId="164" fontId="1" fillId="0" borderId="28" xfId="0" applyNumberFormat="1" applyFont="1" applyBorder="1"/>
    <xf numFmtId="164" fontId="1" fillId="0" borderId="40" xfId="0" applyNumberFormat="1" applyFont="1" applyBorder="1"/>
    <xf numFmtId="164" fontId="1" fillId="0" borderId="33" xfId="0" applyNumberFormat="1" applyFont="1" applyBorder="1"/>
    <xf numFmtId="0" fontId="1" fillId="0" borderId="0" xfId="0" applyFont="1"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center"/>
    </xf>
    <xf numFmtId="0" fontId="1" fillId="0" borderId="16" xfId="0" applyFont="1" applyBorder="1" applyAlignment="1">
      <alignment horizontal="center"/>
    </xf>
    <xf numFmtId="3" fontId="1" fillId="0" borderId="0" xfId="0" applyNumberFormat="1" applyFont="1"/>
    <xf numFmtId="3" fontId="1" fillId="0" borderId="34" xfId="0" applyNumberFormat="1" applyFont="1" applyBorder="1"/>
    <xf numFmtId="3" fontId="1" fillId="0" borderId="5" xfId="0" applyNumberFormat="1" applyFont="1" applyBorder="1"/>
    <xf numFmtId="3" fontId="1" fillId="0" borderId="16" xfId="0" applyNumberFormat="1" applyFont="1" applyBorder="1"/>
    <xf numFmtId="0" fontId="7" fillId="0" borderId="16" xfId="0" applyFont="1" applyBorder="1"/>
    <xf numFmtId="3" fontId="1" fillId="0" borderId="6" xfId="0" applyNumberFormat="1" applyFont="1" applyBorder="1"/>
    <xf numFmtId="166" fontId="9" fillId="0" borderId="0" xfId="0" applyNumberFormat="1" applyFont="1" applyFill="1" applyBorder="1" applyAlignment="1">
      <alignment horizontal="center"/>
    </xf>
    <xf numFmtId="0" fontId="41" fillId="0" borderId="5" xfId="6" applyFont="1" applyFill="1" applyBorder="1" applyAlignment="1">
      <alignment horizontal="right" wrapText="1"/>
    </xf>
    <xf numFmtId="169" fontId="42" fillId="0" borderId="5" xfId="6" applyNumberFormat="1" applyFont="1" applyFill="1" applyBorder="1" applyAlignment="1">
      <alignment horizontal="center" wrapText="1"/>
    </xf>
    <xf numFmtId="0" fontId="38" fillId="0" borderId="18" xfId="6" applyFont="1" applyFill="1" applyBorder="1" applyAlignment="1">
      <alignment horizontal="center" wrapText="1"/>
    </xf>
    <xf numFmtId="165" fontId="38" fillId="0" borderId="18" xfId="6" applyNumberFormat="1" applyFont="1" applyFill="1" applyBorder="1" applyAlignment="1">
      <alignment horizontal="center" wrapText="1"/>
    </xf>
    <xf numFmtId="0" fontId="40" fillId="0" borderId="4" xfId="6" applyFont="1" applyFill="1" applyBorder="1" applyAlignment="1">
      <alignment horizontal="right" wrapText="1"/>
    </xf>
    <xf numFmtId="169" fontId="39" fillId="0" borderId="4" xfId="6" applyNumberFormat="1" applyFont="1" applyFill="1" applyBorder="1" applyAlignment="1">
      <alignment horizontal="center" wrapText="1"/>
    </xf>
    <xf numFmtId="169" fontId="0" fillId="0" borderId="0" xfId="0" applyNumberFormat="1" applyFont="1" applyFill="1" applyBorder="1" applyAlignment="1">
      <alignment horizontal="center"/>
    </xf>
    <xf numFmtId="0" fontId="65" fillId="0" borderId="0" xfId="0" applyFont="1" applyAlignment="1">
      <alignment vertical="top" wrapText="1"/>
    </xf>
    <xf numFmtId="0" fontId="65" fillId="0" borderId="23" xfId="0" applyFont="1" applyBorder="1" applyAlignment="1">
      <alignment vertical="top" wrapText="1"/>
    </xf>
    <xf numFmtId="0" fontId="65" fillId="0" borderId="23" xfId="0" applyFont="1" applyBorder="1" applyAlignment="1">
      <alignment horizontal="center" vertical="top" wrapText="1"/>
    </xf>
    <xf numFmtId="8" fontId="65" fillId="0" borderId="0" xfId="0" applyNumberFormat="1" applyFont="1" applyAlignment="1">
      <alignment horizontal="center" vertical="top" wrapText="1"/>
    </xf>
    <xf numFmtId="8" fontId="43" fillId="0" borderId="0" xfId="6" applyNumberFormat="1" applyAlignment="1">
      <alignment wrapText="1"/>
    </xf>
    <xf numFmtId="0" fontId="43" fillId="0" borderId="5" xfId="6" applyBorder="1" applyAlignment="1">
      <alignment horizontal="center" wrapText="1"/>
    </xf>
    <xf numFmtId="8" fontId="43" fillId="0" borderId="0" xfId="6" applyNumberFormat="1" applyAlignment="1">
      <alignment horizontal="center" wrapText="1"/>
    </xf>
    <xf numFmtId="164" fontId="1" fillId="0" borderId="15" xfId="0" applyNumberFormat="1" applyFont="1" applyFill="1" applyBorder="1" applyAlignment="1">
      <alignment horizontal="center"/>
    </xf>
    <xf numFmtId="164" fontId="1" fillId="0" borderId="4" xfId="0" applyNumberFormat="1" applyFont="1" applyFill="1" applyBorder="1" applyAlignment="1">
      <alignment horizontal="center"/>
    </xf>
    <xf numFmtId="164" fontId="1" fillId="0" borderId="10" xfId="0" applyNumberFormat="1" applyFont="1" applyFill="1" applyBorder="1" applyAlignment="1">
      <alignment horizontal="center"/>
    </xf>
    <xf numFmtId="164" fontId="1" fillId="0" borderId="16" xfId="0" applyNumberFormat="1" applyFont="1" applyFill="1" applyBorder="1" applyAlignment="1">
      <alignment horizontal="center"/>
    </xf>
    <xf numFmtId="164" fontId="1" fillId="0" borderId="0" xfId="0" applyNumberFormat="1" applyFont="1" applyFill="1" applyBorder="1" applyAlignment="1">
      <alignment horizontal="center"/>
    </xf>
    <xf numFmtId="164" fontId="1" fillId="0" borderId="1" xfId="0" applyNumberFormat="1" applyFont="1" applyFill="1" applyBorder="1" applyAlignment="1">
      <alignment horizontal="center"/>
    </xf>
    <xf numFmtId="164" fontId="1" fillId="0" borderId="17" xfId="0" applyNumberFormat="1" applyFont="1" applyFill="1" applyBorder="1" applyAlignment="1">
      <alignment horizontal="center"/>
    </xf>
    <xf numFmtId="164" fontId="1" fillId="0" borderId="5" xfId="0" applyNumberFormat="1" applyFont="1" applyFill="1" applyBorder="1" applyAlignment="1">
      <alignment horizontal="center"/>
    </xf>
    <xf numFmtId="164" fontId="1" fillId="0" borderId="6" xfId="0" applyNumberFormat="1" applyFont="1" applyFill="1" applyBorder="1" applyAlignment="1">
      <alignment horizontal="center"/>
    </xf>
    <xf numFmtId="0" fontId="0" fillId="0" borderId="0" xfId="0" applyBorder="1" applyAlignment="1">
      <alignment horizontal="center"/>
    </xf>
    <xf numFmtId="0" fontId="61" fillId="0" borderId="0" xfId="0" applyFont="1" applyAlignment="1">
      <alignment horizontal="center"/>
    </xf>
    <xf numFmtId="0" fontId="0" fillId="0" borderId="0" xfId="0" applyBorder="1" applyAlignment="1">
      <alignment horizontal="center" vertical="center" textRotation="90" wrapText="1"/>
    </xf>
    <xf numFmtId="4" fontId="0" fillId="0" borderId="0" xfId="0" applyNumberFormat="1" applyFill="1" applyBorder="1" applyAlignment="1">
      <alignment horizontal="center"/>
    </xf>
    <xf numFmtId="3" fontId="1" fillId="0" borderId="0" xfId="0" applyNumberFormat="1" applyFont="1" applyBorder="1" applyAlignment="1"/>
    <xf numFmtId="9" fontId="1" fillId="0" borderId="0" xfId="0" applyNumberFormat="1" applyFont="1"/>
    <xf numFmtId="166" fontId="1" fillId="0" borderId="0" xfId="0" applyNumberFormat="1" applyFont="1"/>
    <xf numFmtId="0" fontId="1" fillId="0" borderId="0" xfId="0" applyFont="1" applyBorder="1" applyAlignment="1">
      <alignment horizontal="center"/>
    </xf>
    <xf numFmtId="0" fontId="1" fillId="0" borderId="5" xfId="0" applyFont="1" applyBorder="1" applyAlignment="1">
      <alignment horizontal="center"/>
    </xf>
    <xf numFmtId="164" fontId="1" fillId="0" borderId="5" xfId="0" applyNumberFormat="1" applyFont="1" applyBorder="1" applyAlignment="1">
      <alignment horizontal="center"/>
    </xf>
    <xf numFmtId="164" fontId="1" fillId="0" borderId="0" xfId="0" applyNumberFormat="1" applyFont="1" applyBorder="1" applyAlignment="1">
      <alignment horizontal="center"/>
    </xf>
    <xf numFmtId="0" fontId="1" fillId="0" borderId="4" xfId="0" applyFont="1" applyBorder="1" applyAlignment="1">
      <alignment horizontal="center"/>
    </xf>
    <xf numFmtId="0" fontId="15" fillId="0" borderId="0" xfId="0" applyFont="1" applyBorder="1" applyAlignment="1">
      <alignment horizontal="center"/>
    </xf>
    <xf numFmtId="164" fontId="1" fillId="0" borderId="40" xfId="0" applyNumberFormat="1" applyFont="1" applyFill="1" applyBorder="1" applyAlignment="1">
      <alignment horizontal="center"/>
    </xf>
    <xf numFmtId="164" fontId="1" fillId="0" borderId="19" xfId="0" applyNumberFormat="1" applyFont="1" applyFill="1" applyBorder="1" applyAlignment="1">
      <alignment horizontal="center"/>
    </xf>
    <xf numFmtId="164" fontId="1" fillId="0" borderId="34" xfId="0" applyNumberFormat="1" applyFont="1" applyFill="1" applyBorder="1" applyAlignment="1">
      <alignment horizontal="center"/>
    </xf>
    <xf numFmtId="0" fontId="1" fillId="0" borderId="19" xfId="0" applyFont="1" applyBorder="1" applyAlignment="1">
      <alignment horizontal="center"/>
    </xf>
    <xf numFmtId="164" fontId="1" fillId="0" borderId="40" xfId="0" applyNumberFormat="1" applyFont="1" applyFill="1" applyBorder="1"/>
    <xf numFmtId="164" fontId="1" fillId="0" borderId="19" xfId="0" applyNumberFormat="1" applyFont="1" applyFill="1" applyBorder="1"/>
    <xf numFmtId="164" fontId="1" fillId="0" borderId="34" xfId="0" applyNumberFormat="1" applyFont="1" applyFill="1" applyBorder="1"/>
    <xf numFmtId="9" fontId="1" fillId="0" borderId="16" xfId="0" applyNumberFormat="1" applyFont="1" applyBorder="1"/>
    <xf numFmtId="9" fontId="1" fillId="0" borderId="0" xfId="0" applyNumberFormat="1" applyFont="1" applyBorder="1"/>
    <xf numFmtId="9" fontId="1" fillId="0" borderId="34" xfId="0" applyNumberFormat="1" applyFont="1" applyBorder="1"/>
    <xf numFmtId="9" fontId="1" fillId="0" borderId="5" xfId="0" applyNumberFormat="1" applyFont="1" applyBorder="1"/>
    <xf numFmtId="9" fontId="1" fillId="0" borderId="6" xfId="0" applyNumberFormat="1" applyFont="1" applyBorder="1"/>
    <xf numFmtId="0" fontId="1" fillId="0" borderId="0" xfId="0" applyFont="1" applyBorder="1" applyAlignment="1">
      <alignment horizontal="center"/>
    </xf>
    <xf numFmtId="0" fontId="1" fillId="0" borderId="5" xfId="0" applyFont="1" applyBorder="1" applyAlignment="1">
      <alignment horizontal="center"/>
    </xf>
    <xf numFmtId="164" fontId="1" fillId="0" borderId="5" xfId="0" applyNumberFormat="1" applyFont="1" applyBorder="1" applyAlignment="1">
      <alignment horizontal="center"/>
    </xf>
    <xf numFmtId="164" fontId="1" fillId="0" borderId="0" xfId="0" applyNumberFormat="1" applyFont="1" applyBorder="1" applyAlignment="1">
      <alignment horizontal="center"/>
    </xf>
    <xf numFmtId="0" fontId="1" fillId="0" borderId="4" xfId="0" applyFont="1" applyBorder="1" applyAlignment="1">
      <alignment horizontal="center"/>
    </xf>
    <xf numFmtId="0" fontId="15" fillId="0" borderId="9" xfId="0" applyFont="1" applyBorder="1" applyAlignment="1">
      <alignment vertical="center" textRotation="90"/>
    </xf>
    <xf numFmtId="0" fontId="15" fillId="0" borderId="0" xfId="0" applyFont="1" applyBorder="1" applyAlignment="1">
      <alignment vertical="center" textRotation="90"/>
    </xf>
    <xf numFmtId="0" fontId="15" fillId="0" borderId="4" xfId="0" applyFont="1" applyFill="1" applyBorder="1" applyAlignment="1">
      <alignment horizontal="center"/>
    </xf>
    <xf numFmtId="169" fontId="9" fillId="0" borderId="4" xfId="0" applyNumberFormat="1" applyFont="1" applyFill="1" applyBorder="1" applyAlignment="1">
      <alignment horizontal="center"/>
    </xf>
    <xf numFmtId="169" fontId="0" fillId="0" borderId="4" xfId="0" applyNumberFormat="1" applyFill="1" applyBorder="1" applyAlignment="1">
      <alignment horizontal="center"/>
    </xf>
    <xf numFmtId="0" fontId="15" fillId="0" borderId="5" xfId="0" applyFont="1" applyFill="1" applyBorder="1" applyAlignment="1">
      <alignment horizontal="center"/>
    </xf>
    <xf numFmtId="169" fontId="9" fillId="0" borderId="5" xfId="0" applyNumberFormat="1" applyFont="1" applyFill="1" applyBorder="1" applyAlignment="1">
      <alignment horizontal="center"/>
    </xf>
    <xf numFmtId="169" fontId="0" fillId="0" borderId="5" xfId="0" applyNumberFormat="1" applyFill="1" applyBorder="1" applyAlignment="1">
      <alignment horizontal="center"/>
    </xf>
    <xf numFmtId="164" fontId="1" fillId="5" borderId="16" xfId="0" applyNumberFormat="1" applyFont="1" applyFill="1" applyBorder="1" applyAlignment="1">
      <alignment horizontal="center"/>
    </xf>
    <xf numFmtId="164" fontId="1" fillId="5" borderId="17" xfId="0" applyNumberFormat="1" applyFont="1" applyFill="1" applyBorder="1" applyAlignment="1">
      <alignment horizontal="center"/>
    </xf>
    <xf numFmtId="164" fontId="6" fillId="2" borderId="21" xfId="0" applyNumberFormat="1" applyFont="1" applyFill="1" applyBorder="1" applyAlignment="1">
      <alignment horizontal="center"/>
    </xf>
    <xf numFmtId="0" fontId="1" fillId="0" borderId="2" xfId="0" applyFont="1" applyBorder="1" applyAlignment="1">
      <alignment horizontal="center" wrapText="1"/>
    </xf>
    <xf numFmtId="0" fontId="1" fillId="0" borderId="3" xfId="0" applyFont="1" applyBorder="1" applyAlignment="1">
      <alignment horizontal="center" wrapText="1"/>
    </xf>
    <xf numFmtId="164" fontId="1" fillId="0" borderId="20" xfId="0" applyNumberFormat="1" applyFont="1" applyBorder="1" applyAlignment="1">
      <alignment horizontal="center" wrapText="1"/>
    </xf>
    <xf numFmtId="0" fontId="61" fillId="0" borderId="0" xfId="0" applyFont="1" applyAlignment="1">
      <alignment horizontal="center"/>
    </xf>
    <xf numFmtId="0" fontId="0" fillId="0" borderId="0" xfId="0" applyBorder="1" applyAlignment="1">
      <alignment horizontal="center"/>
    </xf>
    <xf numFmtId="164" fontId="0" fillId="0" borderId="10" xfId="0" applyNumberFormat="1" applyBorder="1" applyAlignment="1">
      <alignment horizontal="center"/>
    </xf>
    <xf numFmtId="164" fontId="0" fillId="0" borderId="28" xfId="0" applyNumberFormat="1" applyBorder="1" applyAlignment="1">
      <alignment horizontal="center"/>
    </xf>
    <xf numFmtId="8" fontId="0" fillId="0" borderId="0" xfId="0" applyNumberFormat="1"/>
    <xf numFmtId="0" fontId="15" fillId="0" borderId="0" xfId="0" applyFont="1" applyFill="1" applyBorder="1"/>
    <xf numFmtId="6" fontId="0" fillId="0" borderId="0" xfId="0" applyNumberFormat="1"/>
    <xf numFmtId="6" fontId="0" fillId="0" borderId="5" xfId="0" applyNumberFormat="1" applyBorder="1"/>
    <xf numFmtId="0" fontId="0" fillId="0" borderId="0" xfId="0" applyBorder="1" applyAlignment="1">
      <alignment horizontal="center"/>
    </xf>
    <xf numFmtId="0" fontId="2" fillId="0" borderId="0" xfId="0" applyFont="1" applyBorder="1" applyAlignment="1">
      <alignment horizontal="center"/>
    </xf>
    <xf numFmtId="164" fontId="67" fillId="0" borderId="0" xfId="6" applyNumberFormat="1" applyFont="1" applyAlignment="1">
      <alignment horizontal="center" vertical="center"/>
    </xf>
    <xf numFmtId="164" fontId="68" fillId="0" borderId="0" xfId="0" applyNumberFormat="1" applyFont="1" applyBorder="1" applyAlignment="1">
      <alignment horizontal="center"/>
    </xf>
    <xf numFmtId="164" fontId="68" fillId="0" borderId="5" xfId="0" applyNumberFormat="1" applyFont="1" applyBorder="1" applyAlignment="1">
      <alignment horizontal="center"/>
    </xf>
    <xf numFmtId="164" fontId="67" fillId="0" borderId="0" xfId="0" applyNumberFormat="1" applyFont="1" applyAlignment="1">
      <alignment horizontal="center"/>
    </xf>
    <xf numFmtId="164" fontId="68" fillId="6" borderId="0" xfId="0" applyNumberFormat="1" applyFont="1" applyFill="1" applyBorder="1" applyAlignment="1">
      <alignment horizontal="center"/>
    </xf>
    <xf numFmtId="164" fontId="67" fillId="0" borderId="0" xfId="6" applyNumberFormat="1" applyFont="1" applyBorder="1" applyAlignment="1">
      <alignment horizontal="center" vertical="center"/>
    </xf>
    <xf numFmtId="164" fontId="67" fillId="0" borderId="0" xfId="0" applyNumberFormat="1" applyFont="1" applyBorder="1" applyAlignment="1">
      <alignment horizontal="center"/>
    </xf>
    <xf numFmtId="176" fontId="67" fillId="0" borderId="0" xfId="0" applyNumberFormat="1" applyFont="1" applyAlignment="1">
      <alignment horizontal="center"/>
    </xf>
    <xf numFmtId="176" fontId="67" fillId="0" borderId="0" xfId="0" applyNumberFormat="1" applyFont="1" applyFill="1" applyAlignment="1">
      <alignment horizontal="center"/>
    </xf>
    <xf numFmtId="176" fontId="67" fillId="10" borderId="0" xfId="0" applyNumberFormat="1" applyFont="1" applyFill="1" applyAlignment="1">
      <alignment horizontal="center"/>
    </xf>
    <xf numFmtId="0" fontId="15" fillId="0" borderId="0" xfId="0" applyFont="1" applyBorder="1" applyAlignment="1">
      <alignment horizontal="center"/>
    </xf>
    <xf numFmtId="6" fontId="19" fillId="2" borderId="0" xfId="0" applyNumberFormat="1" applyFont="1" applyFill="1"/>
    <xf numFmtId="6" fontId="0" fillId="0" borderId="0" xfId="0" applyNumberFormat="1" applyBorder="1" applyAlignment="1">
      <alignment horizontal="center"/>
    </xf>
    <xf numFmtId="0" fontId="5" fillId="2" borderId="27" xfId="0" applyFont="1" applyFill="1" applyBorder="1"/>
    <xf numFmtId="0" fontId="19" fillId="2" borderId="27" xfId="0" applyFont="1" applyFill="1" applyBorder="1"/>
    <xf numFmtId="164" fontId="2" fillId="0" borderId="0" xfId="0" applyNumberFormat="1" applyFont="1" applyBorder="1" applyAlignment="1">
      <alignment horizontal="center" vertical="center"/>
    </xf>
    <xf numFmtId="0" fontId="1" fillId="0" borderId="21" xfId="0" applyFont="1" applyBorder="1"/>
    <xf numFmtId="6" fontId="1" fillId="0" borderId="0" xfId="0" applyNumberFormat="1" applyFont="1"/>
    <xf numFmtId="165" fontId="31" fillId="4" borderId="0" xfId="0" applyNumberFormat="1" applyFont="1" applyFill="1" applyBorder="1" applyAlignment="1">
      <alignment horizontal="center"/>
    </xf>
    <xf numFmtId="177" fontId="9" fillId="0" borderId="0" xfId="0" applyNumberFormat="1" applyFont="1"/>
    <xf numFmtId="4" fontId="9" fillId="0" borderId="0" xfId="0" applyNumberFormat="1" applyFont="1"/>
    <xf numFmtId="40" fontId="9" fillId="0" borderId="0" xfId="0" applyNumberFormat="1" applyFont="1"/>
    <xf numFmtId="0" fontId="1" fillId="0" borderId="4"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center"/>
    </xf>
    <xf numFmtId="164" fontId="1" fillId="0" borderId="5" xfId="0" applyNumberFormat="1" applyFont="1" applyBorder="1" applyAlignment="1">
      <alignment horizontal="center"/>
    </xf>
    <xf numFmtId="164" fontId="1" fillId="0" borderId="0" xfId="0" applyNumberFormat="1" applyFont="1" applyBorder="1" applyAlignment="1">
      <alignment horizontal="center"/>
    </xf>
    <xf numFmtId="164" fontId="5" fillId="2" borderId="36" xfId="0" applyNumberFormat="1" applyFont="1" applyFill="1" applyBorder="1" applyAlignment="1">
      <alignment horizontal="center" vertical="center"/>
    </xf>
    <xf numFmtId="164" fontId="69" fillId="5" borderId="0" xfId="0" applyNumberFormat="1" applyFont="1" applyFill="1" applyBorder="1" applyAlignment="1">
      <alignment horizontal="center"/>
    </xf>
    <xf numFmtId="164" fontId="69" fillId="5" borderId="5" xfId="0" applyNumberFormat="1" applyFont="1" applyFill="1" applyBorder="1" applyAlignment="1">
      <alignment horizontal="center"/>
    </xf>
    <xf numFmtId="164" fontId="70" fillId="2" borderId="2" xfId="0" applyNumberFormat="1" applyFont="1" applyFill="1" applyBorder="1" applyAlignment="1">
      <alignment horizontal="center"/>
    </xf>
    <xf numFmtId="164" fontId="70" fillId="5" borderId="8" xfId="0" applyNumberFormat="1" applyFont="1" applyFill="1" applyBorder="1" applyAlignment="1">
      <alignment horizontal="center"/>
    </xf>
    <xf numFmtId="166" fontId="9" fillId="0" borderId="10" xfId="0" applyNumberFormat="1" applyFont="1" applyBorder="1" applyAlignment="1">
      <alignment horizontal="center" vertical="center" wrapText="1"/>
    </xf>
    <xf numFmtId="3" fontId="0" fillId="0" borderId="0" xfId="0" applyNumberFormat="1"/>
    <xf numFmtId="166" fontId="0" fillId="0" borderId="0" xfId="0" applyNumberFormat="1"/>
    <xf numFmtId="0" fontId="1" fillId="0" borderId="0" xfId="0" applyFont="1" applyBorder="1" applyAlignment="1">
      <alignment horizontal="center"/>
    </xf>
    <xf numFmtId="0" fontId="1" fillId="0" borderId="5" xfId="0" applyFont="1" applyBorder="1" applyAlignment="1">
      <alignment horizontal="center"/>
    </xf>
    <xf numFmtId="164" fontId="1" fillId="0" borderId="0" xfId="0" applyNumberFormat="1" applyFont="1" applyBorder="1" applyAlignment="1">
      <alignment horizontal="center"/>
    </xf>
    <xf numFmtId="0" fontId="0" fillId="0" borderId="5" xfId="0" applyBorder="1" applyAlignment="1">
      <alignment horizontal="center"/>
    </xf>
    <xf numFmtId="0" fontId="15" fillId="0" borderId="0" xfId="0" applyFont="1" applyBorder="1" applyAlignment="1">
      <alignment horizontal="center"/>
    </xf>
    <xf numFmtId="0" fontId="0" fillId="0" borderId="0" xfId="0" applyAlignment="1">
      <alignment horizontal="center"/>
    </xf>
    <xf numFmtId="0" fontId="16" fillId="0" borderId="0" xfId="6" applyFont="1" applyFill="1"/>
    <xf numFmtId="0" fontId="0" fillId="0" borderId="0" xfId="0" applyAlignment="1">
      <alignment wrapText="1"/>
    </xf>
    <xf numFmtId="10" fontId="0" fillId="0" borderId="16" xfId="0" applyNumberFormat="1" applyBorder="1" applyAlignment="1">
      <alignment horizontal="center"/>
    </xf>
    <xf numFmtId="10" fontId="0" fillId="0" borderId="0" xfId="0" applyNumberFormat="1" applyBorder="1" applyAlignment="1">
      <alignment horizontal="center"/>
    </xf>
    <xf numFmtId="10" fontId="0" fillId="0" borderId="1" xfId="0" applyNumberFormat="1" applyBorder="1" applyAlignment="1">
      <alignment horizontal="center"/>
    </xf>
    <xf numFmtId="0" fontId="0" fillId="0" borderId="5" xfId="0" applyBorder="1" applyAlignment="1">
      <alignment wrapText="1"/>
    </xf>
    <xf numFmtId="167" fontId="0" fillId="0" borderId="19" xfId="0" applyNumberFormat="1" applyBorder="1" applyAlignment="1">
      <alignment horizontal="center"/>
    </xf>
    <xf numFmtId="0" fontId="16" fillId="6" borderId="0" xfId="6" applyFont="1" applyFill="1"/>
    <xf numFmtId="167" fontId="0" fillId="6" borderId="19" xfId="0" applyNumberFormat="1" applyFill="1" applyBorder="1" applyAlignment="1">
      <alignment horizontal="center"/>
    </xf>
    <xf numFmtId="10" fontId="0" fillId="6" borderId="16" xfId="0" applyNumberFormat="1" applyFill="1" applyBorder="1" applyAlignment="1">
      <alignment horizontal="center"/>
    </xf>
    <xf numFmtId="10" fontId="0" fillId="6" borderId="0" xfId="0" applyNumberFormat="1" applyFill="1" applyBorder="1" applyAlignment="1">
      <alignment horizontal="center"/>
    </xf>
    <xf numFmtId="10" fontId="0" fillId="6" borderId="1" xfId="0" applyNumberFormat="1" applyFill="1" applyBorder="1" applyAlignment="1">
      <alignment horizontal="center"/>
    </xf>
    <xf numFmtId="0" fontId="15" fillId="0" borderId="17" xfId="0" applyFont="1" applyBorder="1" applyAlignment="1">
      <alignment horizontal="center" wrapText="1"/>
    </xf>
    <xf numFmtId="0" fontId="15" fillId="0" borderId="5" xfId="0" applyFont="1" applyBorder="1" applyAlignment="1">
      <alignment horizontal="center" wrapText="1"/>
    </xf>
    <xf numFmtId="0" fontId="15" fillId="0" borderId="6" xfId="0" applyFont="1" applyBorder="1" applyAlignment="1">
      <alignment horizontal="center" wrapText="1"/>
    </xf>
    <xf numFmtId="167" fontId="0" fillId="0" borderId="16" xfId="0" applyNumberFormat="1" applyBorder="1" applyAlignment="1">
      <alignment horizontal="center"/>
    </xf>
    <xf numFmtId="167" fontId="0" fillId="6" borderId="16" xfId="0" applyNumberFormat="1" applyFill="1" applyBorder="1" applyAlignment="1">
      <alignment horizontal="center"/>
    </xf>
    <xf numFmtId="2" fontId="0" fillId="0" borderId="16" xfId="0" applyNumberFormat="1" applyBorder="1" applyAlignment="1">
      <alignment horizontal="center"/>
    </xf>
    <xf numFmtId="2" fontId="0" fillId="0" borderId="0" xfId="0" applyNumberFormat="1" applyBorder="1" applyAlignment="1">
      <alignment horizontal="center"/>
    </xf>
    <xf numFmtId="2" fontId="0" fillId="0" borderId="1" xfId="0" applyNumberFormat="1" applyBorder="1" applyAlignment="1">
      <alignment horizontal="center"/>
    </xf>
    <xf numFmtId="2" fontId="0" fillId="6" borderId="16" xfId="0" applyNumberFormat="1" applyFill="1" applyBorder="1" applyAlignment="1">
      <alignment horizontal="center"/>
    </xf>
    <xf numFmtId="2" fontId="0" fillId="6" borderId="0" xfId="0" applyNumberFormat="1" applyFill="1" applyBorder="1" applyAlignment="1">
      <alignment horizontal="center"/>
    </xf>
    <xf numFmtId="2" fontId="0" fillId="6" borderId="1" xfId="0" applyNumberFormat="1" applyFill="1" applyBorder="1" applyAlignment="1">
      <alignment horizontal="center"/>
    </xf>
    <xf numFmtId="6" fontId="15" fillId="0" borderId="0" xfId="0" applyNumberFormat="1" applyFont="1" applyBorder="1" applyAlignment="1">
      <alignment horizontal="center"/>
    </xf>
    <xf numFmtId="3" fontId="1" fillId="0" borderId="0" xfId="0" applyNumberFormat="1" applyFont="1" applyBorder="1"/>
    <xf numFmtId="171" fontId="1" fillId="0" borderId="0" xfId="0" applyNumberFormat="1" applyFont="1" applyBorder="1"/>
    <xf numFmtId="164" fontId="1" fillId="0" borderId="5" xfId="0" applyNumberFormat="1" applyFont="1" applyBorder="1" applyAlignment="1"/>
    <xf numFmtId="0" fontId="1" fillId="0" borderId="0" xfId="0" applyFont="1" applyBorder="1" applyAlignment="1">
      <alignment horizontal="center"/>
    </xf>
    <xf numFmtId="164" fontId="1" fillId="0" borderId="0" xfId="0" applyNumberFormat="1" applyFont="1" applyBorder="1" applyAlignment="1">
      <alignment horizontal="center"/>
    </xf>
    <xf numFmtId="178" fontId="0" fillId="0" borderId="4" xfId="0" applyNumberFormat="1" applyBorder="1"/>
    <xf numFmtId="8" fontId="0" fillId="0" borderId="4" xfId="0" applyNumberFormat="1" applyBorder="1"/>
    <xf numFmtId="178" fontId="0" fillId="0" borderId="5" xfId="0" applyNumberFormat="1" applyBorder="1"/>
    <xf numFmtId="8" fontId="0" fillId="0" borderId="5" xfId="0" applyNumberFormat="1" applyBorder="1"/>
    <xf numFmtId="1" fontId="31" fillId="4" borderId="0" xfId="0" applyNumberFormat="1" applyFont="1" applyFill="1" applyBorder="1" applyAlignment="1">
      <alignment horizontal="center"/>
    </xf>
    <xf numFmtId="2" fontId="31" fillId="4" borderId="0" xfId="0" applyNumberFormat="1" applyFont="1" applyFill="1" applyAlignment="1">
      <alignment horizontal="center"/>
    </xf>
    <xf numFmtId="2" fontId="31" fillId="4" borderId="0" xfId="0" applyNumberFormat="1" applyFont="1" applyFill="1" applyBorder="1" applyAlignment="1">
      <alignment horizontal="center"/>
    </xf>
    <xf numFmtId="1" fontId="31" fillId="4" borderId="5" xfId="0" applyNumberFormat="1" applyFont="1" applyFill="1" applyBorder="1" applyAlignment="1">
      <alignment horizontal="center" vertical="center"/>
    </xf>
    <xf numFmtId="0" fontId="14" fillId="3" borderId="0" xfId="0" applyFont="1" applyFill="1" applyBorder="1" applyAlignment="1">
      <alignment horizontal="left"/>
    </xf>
    <xf numFmtId="0" fontId="14" fillId="3" borderId="5" xfId="0" applyFont="1" applyFill="1" applyBorder="1" applyAlignment="1">
      <alignment horizontal="left"/>
    </xf>
    <xf numFmtId="0" fontId="14" fillId="3" borderId="4" xfId="0" applyFont="1" applyFill="1" applyBorder="1" applyAlignment="1">
      <alignment horizontal="left"/>
    </xf>
    <xf numFmtId="0" fontId="14" fillId="3" borderId="18" xfId="0" applyFont="1" applyFill="1" applyBorder="1" applyAlignment="1">
      <alignment horizontal="left"/>
    </xf>
    <xf numFmtId="0" fontId="8" fillId="4" borderId="0" xfId="0" applyFont="1" applyFill="1" applyBorder="1" applyAlignment="1">
      <alignment horizontal="left" vertical="center"/>
    </xf>
    <xf numFmtId="0" fontId="8" fillId="4" borderId="5" xfId="0" applyFont="1" applyFill="1" applyBorder="1" applyAlignment="1">
      <alignment horizontal="left" vertical="center"/>
    </xf>
    <xf numFmtId="0" fontId="1" fillId="4" borderId="0" xfId="0" applyFont="1" applyFill="1" applyAlignment="1">
      <alignment horizontal="left"/>
    </xf>
    <xf numFmtId="0" fontId="1" fillId="4" borderId="5" xfId="0" applyFont="1" applyFill="1" applyBorder="1" applyAlignment="1">
      <alignment horizontal="left"/>
    </xf>
    <xf numFmtId="0" fontId="1" fillId="4" borderId="0" xfId="0" applyFont="1" applyFill="1" applyBorder="1" applyAlignment="1">
      <alignment horizontal="left"/>
    </xf>
    <xf numFmtId="0" fontId="72" fillId="0" borderId="0" xfId="0" applyFont="1" applyAlignment="1">
      <alignment horizontal="left" wrapText="1"/>
    </xf>
    <xf numFmtId="0" fontId="73" fillId="2" borderId="0" xfId="0" applyFont="1" applyFill="1" applyAlignment="1">
      <alignment horizontal="center" wrapText="1"/>
    </xf>
    <xf numFmtId="0" fontId="74" fillId="11" borderId="2" xfId="0" applyFont="1" applyFill="1" applyBorder="1" applyAlignment="1">
      <alignment horizontal="center" wrapText="1"/>
    </xf>
    <xf numFmtId="0" fontId="73" fillId="2" borderId="0" xfId="0" applyFont="1" applyFill="1" applyBorder="1" applyAlignment="1">
      <alignment horizontal="center" wrapText="1"/>
    </xf>
    <xf numFmtId="0" fontId="76" fillId="2" borderId="2" xfId="2" applyFont="1" applyFill="1" applyBorder="1" applyAlignment="1" applyProtection="1">
      <alignment horizontal="center" wrapText="1"/>
    </xf>
    <xf numFmtId="0" fontId="77" fillId="0" borderId="4" xfId="0" applyFont="1" applyBorder="1" applyAlignment="1">
      <alignment horizontal="left" wrapText="1"/>
    </xf>
    <xf numFmtId="0" fontId="77" fillId="0" borderId="0" xfId="0" applyFont="1" applyBorder="1" applyAlignment="1">
      <alignment horizontal="left" wrapText="1"/>
    </xf>
    <xf numFmtId="0" fontId="77" fillId="0" borderId="5" xfId="0" applyFont="1" applyBorder="1" applyAlignment="1">
      <alignment horizontal="left" wrapText="1"/>
    </xf>
    <xf numFmtId="0" fontId="1" fillId="0" borderId="4" xfId="0" applyFont="1" applyBorder="1" applyAlignment="1">
      <alignment horizontal="center" wrapText="1"/>
    </xf>
    <xf numFmtId="0" fontId="1" fillId="0" borderId="0" xfId="0" applyFont="1" applyBorder="1" applyAlignment="1">
      <alignment horizontal="center"/>
    </xf>
    <xf numFmtId="0" fontId="1" fillId="0" borderId="5" xfId="0" applyFont="1" applyBorder="1" applyAlignment="1">
      <alignment horizontal="center"/>
    </xf>
    <xf numFmtId="0" fontId="1" fillId="0" borderId="15" xfId="0" applyFont="1" applyBorder="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2" fillId="0" borderId="24" xfId="0" applyFont="1" applyBorder="1" applyAlignment="1">
      <alignment horizontal="center" vertical="center"/>
    </xf>
    <xf numFmtId="0" fontId="2" fillId="0" borderId="31" xfId="0" applyFont="1" applyBorder="1" applyAlignment="1">
      <alignment horizontal="center" vertical="center"/>
    </xf>
    <xf numFmtId="164" fontId="71" fillId="0" borderId="5" xfId="0" applyNumberFormat="1" applyFont="1" applyBorder="1" applyAlignment="1">
      <alignment horizontal="center"/>
    </xf>
    <xf numFmtId="3" fontId="71" fillId="0" borderId="0" xfId="0" applyNumberFormat="1" applyFont="1" applyBorder="1" applyAlignment="1">
      <alignment horizontal="center"/>
    </xf>
    <xf numFmtId="3" fontId="1" fillId="0" borderId="0" xfId="0" applyNumberFormat="1" applyFont="1" applyBorder="1" applyAlignment="1">
      <alignment horizontal="center"/>
    </xf>
    <xf numFmtId="164" fontId="1" fillId="0" borderId="5" xfId="0" applyNumberFormat="1" applyFont="1" applyBorder="1" applyAlignment="1">
      <alignment horizontal="center"/>
    </xf>
    <xf numFmtId="0" fontId="2" fillId="5" borderId="37" xfId="0" applyFont="1" applyFill="1" applyBorder="1" applyAlignment="1">
      <alignment horizontal="center" vertical="center" textRotation="90"/>
    </xf>
    <xf numFmtId="0" fontId="2" fillId="5" borderId="19" xfId="0" applyFont="1" applyFill="1" applyBorder="1" applyAlignment="1">
      <alignment horizontal="center" vertical="center" textRotation="90"/>
    </xf>
    <xf numFmtId="0" fontId="2" fillId="5" borderId="20" xfId="0" applyFont="1" applyFill="1" applyBorder="1" applyAlignment="1">
      <alignment horizontal="center" vertical="center" textRotation="90"/>
    </xf>
    <xf numFmtId="164" fontId="2" fillId="0" borderId="28" xfId="0" applyNumberFormat="1" applyFont="1" applyBorder="1" applyAlignment="1">
      <alignment horizontal="center"/>
    </xf>
    <xf numFmtId="164" fontId="2" fillId="0" borderId="18" xfId="0" applyNumberFormat="1" applyFont="1" applyBorder="1" applyAlignment="1">
      <alignment horizontal="center"/>
    </xf>
    <xf numFmtId="164" fontId="2" fillId="0" borderId="29"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164" fontId="2" fillId="5" borderId="28" xfId="0" applyNumberFormat="1" applyFont="1" applyFill="1" applyBorder="1" applyAlignment="1">
      <alignment horizontal="center"/>
    </xf>
    <xf numFmtId="164" fontId="2" fillId="5" borderId="18" xfId="0" applyNumberFormat="1" applyFont="1" applyFill="1" applyBorder="1" applyAlignment="1">
      <alignment horizontal="center"/>
    </xf>
    <xf numFmtId="164" fontId="2" fillId="5" borderId="29" xfId="0" applyNumberFormat="1" applyFont="1" applyFill="1" applyBorder="1" applyAlignment="1">
      <alignment horizontal="center"/>
    </xf>
    <xf numFmtId="164" fontId="2" fillId="5" borderId="40" xfId="0" applyNumberFormat="1" applyFont="1" applyFill="1" applyBorder="1" applyAlignment="1">
      <alignment horizontal="center" vertical="center"/>
    </xf>
    <xf numFmtId="164" fontId="2" fillId="5" borderId="20" xfId="0" applyNumberFormat="1" applyFont="1" applyFill="1" applyBorder="1" applyAlignment="1">
      <alignment horizontal="center" vertical="center"/>
    </xf>
    <xf numFmtId="164" fontId="71" fillId="0" borderId="0" xfId="0" applyNumberFormat="1" applyFont="1" applyBorder="1" applyAlignment="1">
      <alignment horizontal="center"/>
    </xf>
    <xf numFmtId="164" fontId="1" fillId="0" borderId="0" xfId="0" applyNumberFormat="1" applyFont="1" applyBorder="1" applyAlignment="1">
      <alignment horizontal="center"/>
    </xf>
    <xf numFmtId="0" fontId="14" fillId="3" borderId="0" xfId="0" applyFont="1" applyFill="1" applyBorder="1" applyAlignment="1">
      <alignment horizontal="left"/>
    </xf>
    <xf numFmtId="1" fontId="14" fillId="3" borderId="0" xfId="0" applyNumberFormat="1" applyFont="1" applyFill="1" applyBorder="1" applyAlignment="1">
      <alignment horizontal="left"/>
    </xf>
    <xf numFmtId="0" fontId="14" fillId="3" borderId="18" xfId="0" applyFont="1" applyFill="1" applyBorder="1" applyAlignment="1">
      <alignment horizontal="left"/>
    </xf>
    <xf numFmtId="0" fontId="14" fillId="3" borderId="4" xfId="0" applyFont="1" applyFill="1" applyBorder="1" applyAlignment="1">
      <alignment horizontal="left"/>
    </xf>
    <xf numFmtId="0" fontId="14" fillId="3" borderId="5" xfId="0" applyFont="1" applyFill="1" applyBorder="1" applyAlignment="1">
      <alignment horizontal="left"/>
    </xf>
    <xf numFmtId="0" fontId="14" fillId="3" borderId="2" xfId="0" applyFont="1" applyFill="1" applyBorder="1" applyAlignment="1">
      <alignment horizontal="center"/>
    </xf>
    <xf numFmtId="0" fontId="0" fillId="0" borderId="4" xfId="0" applyBorder="1" applyAlignment="1">
      <alignment horizontal="center" vertical="center" textRotation="90" wrapText="1"/>
    </xf>
    <xf numFmtId="0" fontId="0" fillId="0" borderId="0" xfId="0" applyBorder="1" applyAlignment="1">
      <alignment horizontal="center" vertical="center" textRotation="90" wrapText="1"/>
    </xf>
    <xf numFmtId="0" fontId="0" fillId="0" borderId="5" xfId="0" applyBorder="1" applyAlignment="1">
      <alignment horizontal="center" vertical="center" textRotation="90" wrapText="1"/>
    </xf>
    <xf numFmtId="0" fontId="61" fillId="0" borderId="0" xfId="0" applyFont="1" applyAlignment="1">
      <alignment horizontal="center"/>
    </xf>
    <xf numFmtId="0" fontId="15" fillId="0" borderId="9" xfId="0" applyFont="1" applyBorder="1" applyAlignment="1">
      <alignment horizontal="center" vertical="center" textRotation="90"/>
    </xf>
    <xf numFmtId="0" fontId="15" fillId="0" borderId="0" xfId="0" applyFont="1" applyBorder="1" applyAlignment="1">
      <alignment horizontal="center" vertical="center" textRotation="90"/>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9" fillId="2" borderId="0" xfId="0" applyFont="1" applyFill="1" applyAlignment="1">
      <alignment horizontal="center" vertical="center" wrapText="1"/>
    </xf>
    <xf numFmtId="0" fontId="19" fillId="2" borderId="0" xfId="0" applyFont="1" applyFill="1" applyAlignment="1">
      <alignment horizontal="center"/>
    </xf>
    <xf numFmtId="0" fontId="15" fillId="0" borderId="16" xfId="0" applyFont="1" applyBorder="1" applyAlignment="1">
      <alignment horizontal="center"/>
    </xf>
    <xf numFmtId="0" fontId="15" fillId="0" borderId="0" xfId="0" applyFont="1" applyBorder="1" applyAlignment="1">
      <alignment horizontal="center"/>
    </xf>
    <xf numFmtId="0" fontId="15" fillId="0" borderId="1" xfId="0" applyFont="1" applyBorder="1" applyAlignment="1">
      <alignment horizontal="center"/>
    </xf>
    <xf numFmtId="0" fontId="0" fillId="0" borderId="17" xfId="0" applyFont="1" applyBorder="1" applyAlignment="1">
      <alignment horizontal="center"/>
    </xf>
    <xf numFmtId="0" fontId="0" fillId="0" borderId="5" xfId="0" applyFont="1" applyBorder="1" applyAlignment="1">
      <alignment horizontal="center"/>
    </xf>
    <xf numFmtId="1" fontId="23" fillId="0" borderId="16" xfId="0" applyNumberFormat="1" applyFont="1" applyBorder="1" applyAlignment="1">
      <alignment horizontal="center"/>
    </xf>
    <xf numFmtId="1" fontId="23" fillId="0" borderId="0" xfId="0" applyNumberFormat="1" applyFont="1" applyBorder="1" applyAlignment="1">
      <alignment horizontal="center"/>
    </xf>
    <xf numFmtId="0" fontId="15" fillId="0" borderId="1" xfId="0" applyFont="1" applyBorder="1" applyAlignment="1">
      <alignment horizontal="center" wrapText="1"/>
    </xf>
    <xf numFmtId="0" fontId="0" fillId="0" borderId="6" xfId="0" applyFont="1" applyBorder="1" applyAlignment="1">
      <alignment horizont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5" fillId="2" borderId="0" xfId="0" applyFont="1" applyFill="1" applyAlignment="1">
      <alignment horizontal="left"/>
    </xf>
    <xf numFmtId="0" fontId="23" fillId="0" borderId="0" xfId="0" applyFont="1" applyFill="1" applyBorder="1" applyAlignment="1">
      <alignment horizontal="center" vertical="center"/>
    </xf>
    <xf numFmtId="0" fontId="0" fillId="0" borderId="16" xfId="0" applyFont="1" applyBorder="1" applyAlignment="1">
      <alignment horizontal="center"/>
    </xf>
    <xf numFmtId="0" fontId="0" fillId="0" borderId="0" xfId="0" applyFont="1" applyBorder="1" applyAlignment="1">
      <alignment horizontal="center"/>
    </xf>
    <xf numFmtId="0" fontId="0" fillId="0" borderId="1" xfId="0" applyFont="1" applyBorder="1" applyAlignment="1">
      <alignment horizontal="center"/>
    </xf>
    <xf numFmtId="0" fontId="58" fillId="4" borderId="0" xfId="0" applyFont="1" applyFill="1" applyAlignment="1">
      <alignment horizontal="center" vertical="center" textRotation="90"/>
    </xf>
    <xf numFmtId="0" fontId="58" fillId="4" borderId="0" xfId="0" applyFont="1" applyFill="1" applyAlignment="1">
      <alignment horizontal="center" vertical="center" textRotation="90" wrapText="1"/>
    </xf>
    <xf numFmtId="0" fontId="23" fillId="0" borderId="0" xfId="0" applyFont="1" applyAlignment="1">
      <alignment horizontal="center" vertical="center"/>
    </xf>
    <xf numFmtId="164" fontId="23" fillId="0" borderId="0" xfId="0" applyNumberFormat="1" applyFont="1" applyAlignment="1">
      <alignment horizontal="center" vertical="center"/>
    </xf>
    <xf numFmtId="0" fontId="0" fillId="0" borderId="0" xfId="0" applyAlignment="1">
      <alignment horizontal="center"/>
    </xf>
    <xf numFmtId="0" fontId="2" fillId="0" borderId="16"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38" fillId="0" borderId="18" xfId="6" applyFont="1" applyFill="1" applyBorder="1" applyAlignment="1">
      <alignment horizontal="center" wrapText="1"/>
    </xf>
    <xf numFmtId="0" fontId="38" fillId="0" borderId="4" xfId="6" applyFont="1" applyFill="1" applyBorder="1" applyAlignment="1">
      <alignment horizontal="center" wrapText="1"/>
    </xf>
    <xf numFmtId="0" fontId="65" fillId="0" borderId="0" xfId="0" applyFont="1" applyAlignment="1">
      <alignment horizontal="center" vertical="top" wrapText="1"/>
    </xf>
    <xf numFmtId="0" fontId="43" fillId="0" borderId="0" xfId="6" applyAlignment="1">
      <alignment horizontal="center" wrapText="1"/>
    </xf>
    <xf numFmtId="0" fontId="15" fillId="0" borderId="16" xfId="0" applyFont="1" applyBorder="1" applyAlignment="1">
      <alignment horizontal="center" vertical="center"/>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15" fillId="0" borderId="19" xfId="0" applyFont="1" applyBorder="1" applyAlignment="1">
      <alignment horizontal="center" wrapText="1"/>
    </xf>
    <xf numFmtId="0" fontId="15" fillId="0" borderId="34" xfId="0" applyFont="1" applyBorder="1" applyAlignment="1">
      <alignment horizontal="center" wrapText="1"/>
    </xf>
    <xf numFmtId="0" fontId="15" fillId="0" borderId="16" xfId="0" applyFont="1" applyBorder="1" applyAlignment="1">
      <alignment horizontal="center" wrapText="1"/>
    </xf>
    <xf numFmtId="0" fontId="15" fillId="0" borderId="0" xfId="0" applyFont="1" applyBorder="1" applyAlignment="1">
      <alignment horizontal="center" wrapText="1"/>
    </xf>
    <xf numFmtId="0" fontId="11" fillId="0" borderId="4" xfId="2" applyBorder="1" applyAlignment="1" applyProtection="1">
      <alignment horizontal="center" vertical="center" textRotation="90"/>
    </xf>
    <xf numFmtId="0" fontId="12" fillId="0" borderId="0" xfId="0" applyFont="1" applyBorder="1" applyAlignment="1">
      <alignment horizontal="center" vertical="center" textRotation="90"/>
    </xf>
    <xf numFmtId="0" fontId="12" fillId="0" borderId="5" xfId="0" applyFont="1" applyBorder="1" applyAlignment="1">
      <alignment horizontal="center" vertical="center" textRotation="90"/>
    </xf>
    <xf numFmtId="0" fontId="11" fillId="0" borderId="0" xfId="2" applyBorder="1" applyAlignment="1" applyProtection="1">
      <alignment horizontal="center" vertical="center" textRotation="90"/>
    </xf>
  </cellXfs>
  <cellStyles count="8">
    <cellStyle name="Hyperlink" xfId="2" builtinId="8"/>
    <cellStyle name="Normal" xfId="0" builtinId="0"/>
    <cellStyle name="Normal 2" xfId="6"/>
    <cellStyle name="Normal 4" xfId="3"/>
    <cellStyle name="Normal_Table1_07 oil imports.xls" xfId="5"/>
    <cellStyle name="Normal_Table1_12 total oil use.xls" xfId="4"/>
    <cellStyle name="Percent" xfId="1" builtinId="5"/>
    <cellStyle name="Percent 2" xfId="7"/>
  </cellStyles>
  <dxfs count="5">
    <dxf>
      <font>
        <condense val="0"/>
        <extend val="0"/>
        <color rgb="FF006100"/>
      </font>
      <fill>
        <patternFill>
          <bgColor rgb="FFC6EFCE"/>
        </patternFill>
      </fill>
    </dxf>
    <dxf>
      <font>
        <condense val="0"/>
        <extend val="0"/>
        <color rgb="FF006100"/>
      </font>
      <fill>
        <patternFill>
          <bgColor rgb="FFC6EFCE"/>
        </patternFill>
      </fill>
    </dxf>
    <dxf>
      <font>
        <b/>
        <i val="0"/>
        <color rgb="FF009900"/>
      </font>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colors>
    <mruColors>
      <color rgb="FF336600"/>
      <color rgb="FFCCCC00"/>
      <color rgb="FF008000"/>
      <color rgb="FF009900"/>
      <color rgb="FF0033CC"/>
      <color rgb="FF993300"/>
      <color rgb="FF8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500"/>
            </a:pPr>
            <a:r>
              <a:rPr lang="en-US" sz="1500"/>
              <a:t>Externalities and Oil Premium by Source</a:t>
            </a:r>
          </a:p>
        </c:rich>
      </c:tx>
    </c:title>
    <c:view3D>
      <c:depthPercent val="100"/>
      <c:rAngAx val="1"/>
    </c:view3D>
    <c:plotArea>
      <c:layout>
        <c:manualLayout>
          <c:layoutTarget val="inner"/>
          <c:xMode val="edge"/>
          <c:yMode val="edge"/>
          <c:x val="0.13978465110161883"/>
          <c:y val="0.17153944298630064"/>
          <c:w val="0.65853053136569861"/>
          <c:h val="0.6780861767279085"/>
        </c:manualLayout>
      </c:layout>
      <c:bar3DChart>
        <c:barDir val="col"/>
        <c:grouping val="stacked"/>
        <c:ser>
          <c:idx val="0"/>
          <c:order val="0"/>
          <c:tx>
            <c:strRef>
              <c:f>SUMMARY!$Y$7</c:f>
              <c:strCache>
                <c:ptCount val="1"/>
                <c:pt idx="0">
                  <c:v>Vehicle Production</c:v>
                </c:pt>
              </c:strCache>
            </c:strRef>
          </c:tx>
          <c:spPr>
            <a:solidFill>
              <a:schemeClr val="tx2"/>
            </a:solidFill>
          </c:spPr>
          <c:cat>
            <c:strRef>
              <c:f>SUMMARY!$Z$6:$AD$6</c:f>
              <c:strCache>
                <c:ptCount val="5"/>
                <c:pt idx="0">
                  <c:v>CV</c:v>
                </c:pt>
                <c:pt idx="1">
                  <c:v>HEV</c:v>
                </c:pt>
                <c:pt idx="2">
                  <c:v>PHEV20</c:v>
                </c:pt>
                <c:pt idx="3">
                  <c:v>PHEV60</c:v>
                </c:pt>
                <c:pt idx="4">
                  <c:v>BEV240</c:v>
                </c:pt>
              </c:strCache>
            </c:strRef>
          </c:cat>
          <c:val>
            <c:numRef>
              <c:f>SUMMARY!$Z$7:$AD$7</c:f>
              <c:numCache>
                <c:formatCode>"$"#,##0</c:formatCode>
                <c:ptCount val="5"/>
                <c:pt idx="0">
                  <c:v>928.29756166095035</c:v>
                </c:pt>
                <c:pt idx="1">
                  <c:v>914.51561363132316</c:v>
                </c:pt>
                <c:pt idx="2">
                  <c:v>925.09914068055332</c:v>
                </c:pt>
                <c:pt idx="3">
                  <c:v>925.09914068055332</c:v>
                </c:pt>
                <c:pt idx="4">
                  <c:v>925.09914068055332</c:v>
                </c:pt>
              </c:numCache>
            </c:numRef>
          </c:val>
        </c:ser>
        <c:ser>
          <c:idx val="1"/>
          <c:order val="1"/>
          <c:tx>
            <c:strRef>
              <c:f>SUMMARY!$Y$8</c:f>
              <c:strCache>
                <c:ptCount val="1"/>
                <c:pt idx="0">
                  <c:v>Battery Production</c:v>
                </c:pt>
              </c:strCache>
            </c:strRef>
          </c:tx>
          <c:spPr>
            <a:solidFill>
              <a:schemeClr val="tx2">
                <a:lumMod val="60000"/>
                <a:lumOff val="40000"/>
              </a:schemeClr>
            </a:solidFill>
          </c:spPr>
          <c:cat>
            <c:strRef>
              <c:f>SUMMARY!$Z$6:$AD$6</c:f>
              <c:strCache>
                <c:ptCount val="5"/>
                <c:pt idx="0">
                  <c:v>CV</c:v>
                </c:pt>
                <c:pt idx="1">
                  <c:v>HEV</c:v>
                </c:pt>
                <c:pt idx="2">
                  <c:v>PHEV20</c:v>
                </c:pt>
                <c:pt idx="3">
                  <c:v>PHEV60</c:v>
                </c:pt>
                <c:pt idx="4">
                  <c:v>BEV240</c:v>
                </c:pt>
              </c:strCache>
            </c:strRef>
          </c:cat>
          <c:val>
            <c:numRef>
              <c:f>SUMMARY!$Z$8:$AD$8</c:f>
              <c:numCache>
                <c:formatCode>"$"#,##0</c:formatCode>
                <c:ptCount val="5"/>
                <c:pt idx="0">
                  <c:v>30.383556348153878</c:v>
                </c:pt>
                <c:pt idx="1">
                  <c:v>122.38061418914887</c:v>
                </c:pt>
                <c:pt idx="2">
                  <c:v>140.61421564364801</c:v>
                </c:pt>
                <c:pt idx="3">
                  <c:v>482.27378376666479</c:v>
                </c:pt>
                <c:pt idx="4">
                  <c:v>1905.7046604868192</c:v>
                </c:pt>
              </c:numCache>
            </c:numRef>
          </c:val>
        </c:ser>
        <c:ser>
          <c:idx val="2"/>
          <c:order val="2"/>
          <c:tx>
            <c:strRef>
              <c:f>SUMMARY!$Y$9</c:f>
              <c:strCache>
                <c:ptCount val="1"/>
                <c:pt idx="0">
                  <c:v>Gasoline Production</c:v>
                </c:pt>
              </c:strCache>
            </c:strRef>
          </c:tx>
          <c:spPr>
            <a:solidFill>
              <a:schemeClr val="tx1">
                <a:lumMod val="75000"/>
                <a:lumOff val="25000"/>
              </a:schemeClr>
            </a:solidFill>
          </c:spPr>
          <c:cat>
            <c:strRef>
              <c:f>SUMMARY!$Z$6:$AD$6</c:f>
              <c:strCache>
                <c:ptCount val="5"/>
                <c:pt idx="0">
                  <c:v>CV</c:v>
                </c:pt>
                <c:pt idx="1">
                  <c:v>HEV</c:v>
                </c:pt>
                <c:pt idx="2">
                  <c:v>PHEV20</c:v>
                </c:pt>
                <c:pt idx="3">
                  <c:v>PHEV60</c:v>
                </c:pt>
                <c:pt idx="4">
                  <c:v>BEV240</c:v>
                </c:pt>
              </c:strCache>
            </c:strRef>
          </c:cat>
          <c:val>
            <c:numRef>
              <c:f>SUMMARY!$Z$9:$AD$9</c:f>
              <c:numCache>
                <c:formatCode>"$"#,##0</c:formatCode>
                <c:ptCount val="5"/>
                <c:pt idx="0">
                  <c:v>596.96725662914298</c:v>
                </c:pt>
                <c:pt idx="1">
                  <c:v>426.40518330653072</c:v>
                </c:pt>
                <c:pt idx="2">
                  <c:v>346.48404091512333</c:v>
                </c:pt>
                <c:pt idx="3">
                  <c:v>300.08871219319559</c:v>
                </c:pt>
                <c:pt idx="4">
                  <c:v>0</c:v>
                </c:pt>
              </c:numCache>
            </c:numRef>
          </c:val>
        </c:ser>
        <c:ser>
          <c:idx val="3"/>
          <c:order val="3"/>
          <c:tx>
            <c:strRef>
              <c:f>SUMMARY!$Y$10</c:f>
              <c:strCache>
                <c:ptCount val="1"/>
                <c:pt idx="0">
                  <c:v>Electricity Production</c:v>
                </c:pt>
              </c:strCache>
            </c:strRef>
          </c:tx>
          <c:spPr>
            <a:solidFill>
              <a:srgbClr val="CCCC00"/>
            </a:solidFill>
          </c:spPr>
          <c:cat>
            <c:strRef>
              <c:f>SUMMARY!$Z$6:$AD$6</c:f>
              <c:strCache>
                <c:ptCount val="5"/>
                <c:pt idx="0">
                  <c:v>CV</c:v>
                </c:pt>
                <c:pt idx="1">
                  <c:v>HEV</c:v>
                </c:pt>
                <c:pt idx="2">
                  <c:v>PHEV20</c:v>
                </c:pt>
                <c:pt idx="3">
                  <c:v>PHEV60</c:v>
                </c:pt>
                <c:pt idx="4">
                  <c:v>BEV240</c:v>
                </c:pt>
              </c:strCache>
            </c:strRef>
          </c:cat>
          <c:val>
            <c:numRef>
              <c:f>SUMMARY!$Z$10:$AD$10</c:f>
              <c:numCache>
                <c:formatCode>"$"#,##0</c:formatCode>
                <c:ptCount val="5"/>
                <c:pt idx="0">
                  <c:v>0</c:v>
                </c:pt>
                <c:pt idx="1">
                  <c:v>0</c:v>
                </c:pt>
                <c:pt idx="2">
                  <c:v>262.75061195019305</c:v>
                </c:pt>
                <c:pt idx="3">
                  <c:v>772.01411979769307</c:v>
                </c:pt>
                <c:pt idx="4">
                  <c:v>1762.0450960669243</c:v>
                </c:pt>
              </c:numCache>
            </c:numRef>
          </c:val>
        </c:ser>
        <c:ser>
          <c:idx val="4"/>
          <c:order val="4"/>
          <c:tx>
            <c:strRef>
              <c:f>SUMMARY!$Y$11</c:f>
              <c:strCache>
                <c:ptCount val="1"/>
                <c:pt idx="0">
                  <c:v>Vehicle Operation</c:v>
                </c:pt>
              </c:strCache>
            </c:strRef>
          </c:tx>
          <c:spPr>
            <a:solidFill>
              <a:schemeClr val="accent6">
                <a:lumMod val="50000"/>
              </a:schemeClr>
            </a:solidFill>
          </c:spPr>
          <c:cat>
            <c:strRef>
              <c:f>SUMMARY!$Z$6:$AD$6</c:f>
              <c:strCache>
                <c:ptCount val="5"/>
                <c:pt idx="0">
                  <c:v>CV</c:v>
                </c:pt>
                <c:pt idx="1">
                  <c:v>HEV</c:v>
                </c:pt>
                <c:pt idx="2">
                  <c:v>PHEV20</c:v>
                </c:pt>
                <c:pt idx="3">
                  <c:v>PHEV60</c:v>
                </c:pt>
                <c:pt idx="4">
                  <c:v>BEV240</c:v>
                </c:pt>
              </c:strCache>
            </c:strRef>
          </c:cat>
          <c:val>
            <c:numRef>
              <c:f>SUMMARY!$Z$11:$AD$11</c:f>
              <c:numCache>
                <c:formatCode>"$"#,##0</c:formatCode>
                <c:ptCount val="5"/>
                <c:pt idx="0">
                  <c:v>3245.8862378073241</c:v>
                </c:pt>
                <c:pt idx="1">
                  <c:v>2446.9258467507134</c:v>
                </c:pt>
                <c:pt idx="2">
                  <c:v>1957.8409166946767</c:v>
                </c:pt>
                <c:pt idx="3">
                  <c:v>1666.414396861655</c:v>
                </c:pt>
                <c:pt idx="4">
                  <c:v>74.626312977847732</c:v>
                </c:pt>
              </c:numCache>
            </c:numRef>
          </c:val>
        </c:ser>
        <c:gapWidth val="25"/>
        <c:shape val="box"/>
        <c:axId val="102247424"/>
        <c:axId val="102253312"/>
        <c:axId val="0"/>
      </c:bar3DChart>
      <c:catAx>
        <c:axId val="102247424"/>
        <c:scaling>
          <c:orientation val="minMax"/>
        </c:scaling>
        <c:axPos val="b"/>
        <c:majorTickMark val="none"/>
        <c:tickLblPos val="nextTo"/>
        <c:crossAx val="102253312"/>
        <c:crosses val="autoZero"/>
        <c:auto val="1"/>
        <c:lblAlgn val="ctr"/>
        <c:lblOffset val="100"/>
      </c:catAx>
      <c:valAx>
        <c:axId val="102253312"/>
        <c:scaling>
          <c:orientation val="minMax"/>
        </c:scaling>
        <c:axPos val="l"/>
        <c:majorGridlines/>
        <c:numFmt formatCode="&quot;$&quot;#,##0" sourceLinked="1"/>
        <c:majorTickMark val="none"/>
        <c:tickLblPos val="nextTo"/>
        <c:crossAx val="102247424"/>
        <c:crosses val="autoZero"/>
        <c:crossBetween val="between"/>
      </c:valAx>
    </c:plotArea>
    <c:legend>
      <c:legendPos val="r"/>
      <c:layout>
        <c:manualLayout>
          <c:xMode val="edge"/>
          <c:yMode val="edge"/>
          <c:x val="0.78344475152526449"/>
          <c:y val="0.18472405235059924"/>
          <c:w val="0.21655524847473678"/>
          <c:h val="0.53702751441784069"/>
        </c:manualLayout>
      </c:layout>
    </c:legend>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a:pPr>
            <a:r>
              <a:rPr lang="en-US" sz="1600"/>
              <a:t>Externalities</a:t>
            </a:r>
            <a:r>
              <a:rPr lang="en-US" sz="1600" baseline="0"/>
              <a:t> and Oil Premium </a:t>
            </a:r>
            <a:r>
              <a:rPr lang="en-US" sz="1600"/>
              <a:t>by Type</a:t>
            </a:r>
          </a:p>
        </c:rich>
      </c:tx>
    </c:title>
    <c:view3D>
      <c:depthPercent val="100"/>
      <c:rAngAx val="1"/>
    </c:view3D>
    <c:plotArea>
      <c:layout>
        <c:manualLayout>
          <c:layoutTarget val="inner"/>
          <c:xMode val="edge"/>
          <c:yMode val="edge"/>
          <c:x val="0.14194919240257764"/>
          <c:y val="0.18306007053515291"/>
          <c:w val="0.63811124936444663"/>
          <c:h val="0.66691288868619503"/>
        </c:manualLayout>
      </c:layout>
      <c:bar3DChart>
        <c:barDir val="col"/>
        <c:grouping val="stacked"/>
        <c:ser>
          <c:idx val="1"/>
          <c:order val="0"/>
          <c:tx>
            <c:strRef>
              <c:f>SUMMARY!$Z$22</c:f>
              <c:strCache>
                <c:ptCount val="1"/>
                <c:pt idx="0">
                  <c:v>GHGs</c:v>
                </c:pt>
              </c:strCache>
            </c:strRef>
          </c:tx>
          <c:spPr>
            <a:solidFill>
              <a:srgbClr val="336600"/>
            </a:solidFill>
          </c:spPr>
          <c:cat>
            <c:strRef>
              <c:f>SUMMARY!$Y$23:$Y$27</c:f>
              <c:strCache>
                <c:ptCount val="5"/>
                <c:pt idx="0">
                  <c:v>CV</c:v>
                </c:pt>
                <c:pt idx="1">
                  <c:v>HEV</c:v>
                </c:pt>
                <c:pt idx="2">
                  <c:v>PHEV20</c:v>
                </c:pt>
                <c:pt idx="3">
                  <c:v>PHEV60</c:v>
                </c:pt>
                <c:pt idx="4">
                  <c:v>BEV240</c:v>
                </c:pt>
              </c:strCache>
            </c:strRef>
          </c:cat>
          <c:val>
            <c:numRef>
              <c:f>SUMMARY!$Z$23:$Z$27</c:f>
              <c:numCache>
                <c:formatCode>"$"#,##0</c:formatCode>
                <c:ptCount val="5"/>
                <c:pt idx="0">
                  <c:v>2024.7409595581712</c:v>
                </c:pt>
                <c:pt idx="1">
                  <c:v>1533.4235892112956</c:v>
                </c:pt>
                <c:pt idx="2">
                  <c:v>1470.9903780410214</c:v>
                </c:pt>
                <c:pt idx="3">
                  <c:v>1733.929370510444</c:v>
                </c:pt>
                <c:pt idx="4">
                  <c:v>1823.8017153265005</c:v>
                </c:pt>
              </c:numCache>
            </c:numRef>
          </c:val>
        </c:ser>
        <c:ser>
          <c:idx val="3"/>
          <c:order val="1"/>
          <c:tx>
            <c:strRef>
              <c:f>SUMMARY!$AA$22</c:f>
              <c:strCache>
                <c:ptCount val="1"/>
                <c:pt idx="0">
                  <c:v>CO</c:v>
                </c:pt>
              </c:strCache>
            </c:strRef>
          </c:tx>
          <c:spPr>
            <a:solidFill>
              <a:srgbClr val="993300"/>
            </a:solidFill>
          </c:spPr>
          <c:cat>
            <c:strRef>
              <c:f>SUMMARY!$Y$23:$Y$27</c:f>
              <c:strCache>
                <c:ptCount val="5"/>
                <c:pt idx="0">
                  <c:v>CV</c:v>
                </c:pt>
                <c:pt idx="1">
                  <c:v>HEV</c:v>
                </c:pt>
                <c:pt idx="2">
                  <c:v>PHEV20</c:v>
                </c:pt>
                <c:pt idx="3">
                  <c:v>PHEV60</c:v>
                </c:pt>
                <c:pt idx="4">
                  <c:v>BEV240</c:v>
                </c:pt>
              </c:strCache>
            </c:strRef>
          </c:cat>
          <c:val>
            <c:numRef>
              <c:f>SUMMARY!$AA$23:$AA$27</c:f>
              <c:numCache>
                <c:formatCode>"$"#,##0</c:formatCode>
                <c:ptCount val="5"/>
                <c:pt idx="0">
                  <c:v>312.25271204328538</c:v>
                </c:pt>
                <c:pt idx="1">
                  <c:v>309.62966328679141</c:v>
                </c:pt>
                <c:pt idx="2">
                  <c:v>226.57131861625834</c:v>
                </c:pt>
                <c:pt idx="3">
                  <c:v>173.83427687643018</c:v>
                </c:pt>
                <c:pt idx="4">
                  <c:v>17.869358676122928</c:v>
                </c:pt>
              </c:numCache>
            </c:numRef>
          </c:val>
        </c:ser>
        <c:ser>
          <c:idx val="5"/>
          <c:order val="2"/>
          <c:tx>
            <c:strRef>
              <c:f>SUMMARY!$AB$22</c:f>
              <c:strCache>
                <c:ptCount val="1"/>
                <c:pt idx="0">
                  <c:v>NH3</c:v>
                </c:pt>
              </c:strCache>
            </c:strRef>
          </c:tx>
          <c:spPr>
            <a:solidFill>
              <a:schemeClr val="accent1"/>
            </a:solidFill>
          </c:spPr>
          <c:cat>
            <c:strRef>
              <c:f>SUMMARY!$Y$23:$Y$27</c:f>
              <c:strCache>
                <c:ptCount val="5"/>
                <c:pt idx="0">
                  <c:v>CV</c:v>
                </c:pt>
                <c:pt idx="1">
                  <c:v>HEV</c:v>
                </c:pt>
                <c:pt idx="2">
                  <c:v>PHEV20</c:v>
                </c:pt>
                <c:pt idx="3">
                  <c:v>PHEV60</c:v>
                </c:pt>
                <c:pt idx="4">
                  <c:v>BEV240</c:v>
                </c:pt>
              </c:strCache>
            </c:strRef>
          </c:cat>
          <c:val>
            <c:numRef>
              <c:f>SUMMARY!$AB$23:$AB$27</c:f>
              <c:numCache>
                <c:formatCode>"$"#,##0</c:formatCode>
                <c:ptCount val="5"/>
                <c:pt idx="0">
                  <c:v>0</c:v>
                </c:pt>
                <c:pt idx="1">
                  <c:v>0</c:v>
                </c:pt>
                <c:pt idx="2">
                  <c:v>0</c:v>
                </c:pt>
                <c:pt idx="3">
                  <c:v>0</c:v>
                </c:pt>
                <c:pt idx="4">
                  <c:v>0</c:v>
                </c:pt>
              </c:numCache>
            </c:numRef>
          </c:val>
        </c:ser>
        <c:ser>
          <c:idx val="6"/>
          <c:order val="3"/>
          <c:tx>
            <c:strRef>
              <c:f>SUMMARY!$AC$22</c:f>
              <c:strCache>
                <c:ptCount val="1"/>
                <c:pt idx="0">
                  <c:v>NOx</c:v>
                </c:pt>
              </c:strCache>
            </c:strRef>
          </c:tx>
          <c:spPr>
            <a:solidFill>
              <a:schemeClr val="accent6"/>
            </a:solidFill>
          </c:spPr>
          <c:cat>
            <c:strRef>
              <c:f>SUMMARY!$Y$23:$Y$27</c:f>
              <c:strCache>
                <c:ptCount val="5"/>
                <c:pt idx="0">
                  <c:v>CV</c:v>
                </c:pt>
                <c:pt idx="1">
                  <c:v>HEV</c:v>
                </c:pt>
                <c:pt idx="2">
                  <c:v>PHEV20</c:v>
                </c:pt>
                <c:pt idx="3">
                  <c:v>PHEV60</c:v>
                </c:pt>
                <c:pt idx="4">
                  <c:v>BEV240</c:v>
                </c:pt>
              </c:strCache>
            </c:strRef>
          </c:cat>
          <c:val>
            <c:numRef>
              <c:f>SUMMARY!$AC$23:$AC$27</c:f>
              <c:numCache>
                <c:formatCode>"$"#,##0</c:formatCode>
                <c:ptCount val="5"/>
                <c:pt idx="0">
                  <c:v>104.13165470467408</c:v>
                </c:pt>
                <c:pt idx="1">
                  <c:v>85.056093960905713</c:v>
                </c:pt>
                <c:pt idx="2">
                  <c:v>82.644555338322789</c:v>
                </c:pt>
                <c:pt idx="3">
                  <c:v>99.170110306203711</c:v>
                </c:pt>
                <c:pt idx="4">
                  <c:v>128.73367902891709</c:v>
                </c:pt>
              </c:numCache>
            </c:numRef>
          </c:val>
        </c:ser>
        <c:ser>
          <c:idx val="7"/>
          <c:order val="4"/>
          <c:tx>
            <c:strRef>
              <c:f>SUMMARY!$AD$22</c:f>
              <c:strCache>
                <c:ptCount val="1"/>
                <c:pt idx="0">
                  <c:v>PM10</c:v>
                </c:pt>
              </c:strCache>
            </c:strRef>
          </c:tx>
          <c:spPr>
            <a:solidFill>
              <a:schemeClr val="accent4">
                <a:lumMod val="60000"/>
                <a:lumOff val="40000"/>
              </a:schemeClr>
            </a:solidFill>
          </c:spPr>
          <c:cat>
            <c:strRef>
              <c:f>SUMMARY!$Y$23:$Y$27</c:f>
              <c:strCache>
                <c:ptCount val="5"/>
                <c:pt idx="0">
                  <c:v>CV</c:v>
                </c:pt>
                <c:pt idx="1">
                  <c:v>HEV</c:v>
                </c:pt>
                <c:pt idx="2">
                  <c:v>PHEV20</c:v>
                </c:pt>
                <c:pt idx="3">
                  <c:v>PHEV60</c:v>
                </c:pt>
                <c:pt idx="4">
                  <c:v>BEV240</c:v>
                </c:pt>
              </c:strCache>
            </c:strRef>
          </c:cat>
          <c:val>
            <c:numRef>
              <c:f>SUMMARY!$AD$23:$AD$27</c:f>
              <c:numCache>
                <c:formatCode>"$"#,##0</c:formatCode>
                <c:ptCount val="5"/>
                <c:pt idx="0">
                  <c:v>109.0601833311037</c:v>
                </c:pt>
                <c:pt idx="1">
                  <c:v>99.240449074941608</c:v>
                </c:pt>
                <c:pt idx="2">
                  <c:v>101.48096887821208</c:v>
                </c:pt>
                <c:pt idx="3">
                  <c:v>122.77531596720763</c:v>
                </c:pt>
                <c:pt idx="4">
                  <c:v>199.86763473738299</c:v>
                </c:pt>
              </c:numCache>
            </c:numRef>
          </c:val>
        </c:ser>
        <c:ser>
          <c:idx val="8"/>
          <c:order val="5"/>
          <c:tx>
            <c:strRef>
              <c:f>SUMMARY!$AE$22</c:f>
              <c:strCache>
                <c:ptCount val="1"/>
                <c:pt idx="0">
                  <c:v>PM2.5</c:v>
                </c:pt>
              </c:strCache>
            </c:strRef>
          </c:tx>
          <c:spPr>
            <a:solidFill>
              <a:srgbClr val="7030A0"/>
            </a:solidFill>
          </c:spPr>
          <c:cat>
            <c:strRef>
              <c:f>SUMMARY!$Y$23:$Y$27</c:f>
              <c:strCache>
                <c:ptCount val="5"/>
                <c:pt idx="0">
                  <c:v>CV</c:v>
                </c:pt>
                <c:pt idx="1">
                  <c:v>HEV</c:v>
                </c:pt>
                <c:pt idx="2">
                  <c:v>PHEV20</c:v>
                </c:pt>
                <c:pt idx="3">
                  <c:v>PHEV60</c:v>
                </c:pt>
                <c:pt idx="4">
                  <c:v>BEV240</c:v>
                </c:pt>
              </c:strCache>
            </c:strRef>
          </c:cat>
          <c:val>
            <c:numRef>
              <c:f>SUMMARY!$AE$23:$AE$27</c:f>
              <c:numCache>
                <c:formatCode>"$"#,##0</c:formatCode>
                <c:ptCount val="5"/>
                <c:pt idx="0">
                  <c:v>327.17935195742109</c:v>
                </c:pt>
                <c:pt idx="1">
                  <c:v>296.12031154674804</c:v>
                </c:pt>
                <c:pt idx="2">
                  <c:v>291.66818921652788</c:v>
                </c:pt>
                <c:pt idx="3">
                  <c:v>333.46407461874128</c:v>
                </c:pt>
                <c:pt idx="4">
                  <c:v>475.91261374108592</c:v>
                </c:pt>
              </c:numCache>
            </c:numRef>
          </c:val>
        </c:ser>
        <c:ser>
          <c:idx val="9"/>
          <c:order val="6"/>
          <c:tx>
            <c:strRef>
              <c:f>SUMMARY!$AF$22</c:f>
              <c:strCache>
                <c:ptCount val="1"/>
                <c:pt idx="0">
                  <c:v>SO2</c:v>
                </c:pt>
              </c:strCache>
            </c:strRef>
          </c:tx>
          <c:spPr>
            <a:solidFill>
              <a:srgbClr val="CCCC00"/>
            </a:solidFill>
          </c:spPr>
          <c:cat>
            <c:strRef>
              <c:f>SUMMARY!$Y$23:$Y$27</c:f>
              <c:strCache>
                <c:ptCount val="5"/>
                <c:pt idx="0">
                  <c:v>CV</c:v>
                </c:pt>
                <c:pt idx="1">
                  <c:v>HEV</c:v>
                </c:pt>
                <c:pt idx="2">
                  <c:v>PHEV20</c:v>
                </c:pt>
                <c:pt idx="3">
                  <c:v>PHEV60</c:v>
                </c:pt>
                <c:pt idx="4">
                  <c:v>BEV240</c:v>
                </c:pt>
              </c:strCache>
            </c:strRef>
          </c:cat>
          <c:val>
            <c:numRef>
              <c:f>SUMMARY!$AF$23:$AF$27</c:f>
              <c:numCache>
                <c:formatCode>"$"#,##0</c:formatCode>
                <c:ptCount val="5"/>
                <c:pt idx="0">
                  <c:v>412.88420411262837</c:v>
                </c:pt>
                <c:pt idx="1">
                  <c:v>485.95540241708989</c:v>
                </c:pt>
                <c:pt idx="2">
                  <c:v>556.99015577880436</c:v>
                </c:pt>
                <c:pt idx="3">
                  <c:v>895.9992717436171</c:v>
                </c:pt>
                <c:pt idx="4">
                  <c:v>1938.8143695072956</c:v>
                </c:pt>
              </c:numCache>
            </c:numRef>
          </c:val>
        </c:ser>
        <c:ser>
          <c:idx val="10"/>
          <c:order val="7"/>
          <c:tx>
            <c:strRef>
              <c:f>SUMMARY!$AG$22</c:f>
              <c:strCache>
                <c:ptCount val="1"/>
                <c:pt idx="0">
                  <c:v>VOC</c:v>
                </c:pt>
              </c:strCache>
            </c:strRef>
          </c:tx>
          <c:spPr>
            <a:solidFill>
              <a:schemeClr val="accent5">
                <a:lumMod val="40000"/>
                <a:lumOff val="60000"/>
              </a:schemeClr>
            </a:solidFill>
          </c:spPr>
          <c:cat>
            <c:strRef>
              <c:f>SUMMARY!$Y$23:$Y$27</c:f>
              <c:strCache>
                <c:ptCount val="5"/>
                <c:pt idx="0">
                  <c:v>CV</c:v>
                </c:pt>
                <c:pt idx="1">
                  <c:v>HEV</c:v>
                </c:pt>
                <c:pt idx="2">
                  <c:v>PHEV20</c:v>
                </c:pt>
                <c:pt idx="3">
                  <c:v>PHEV60</c:v>
                </c:pt>
                <c:pt idx="4">
                  <c:v>BEV240</c:v>
                </c:pt>
              </c:strCache>
            </c:strRef>
          </c:cat>
          <c:val>
            <c:numRef>
              <c:f>SUMMARY!$AG$23:$AG$27</c:f>
              <c:numCache>
                <c:formatCode>"$"#,##0</c:formatCode>
                <c:ptCount val="5"/>
                <c:pt idx="0">
                  <c:v>227.045243863363</c:v>
                </c:pt>
                <c:pt idx="1">
                  <c:v>183.48724632642646</c:v>
                </c:pt>
                <c:pt idx="2">
                  <c:v>157.06115570665324</c:v>
                </c:pt>
                <c:pt idx="3">
                  <c:v>141.14460618054966</c:v>
                </c:pt>
                <c:pt idx="4">
                  <c:v>82.475839194839338</c:v>
                </c:pt>
              </c:numCache>
            </c:numRef>
          </c:val>
        </c:ser>
        <c:ser>
          <c:idx val="0"/>
          <c:order val="8"/>
          <c:tx>
            <c:strRef>
              <c:f>SUMMARY!$AH$22</c:f>
              <c:strCache>
                <c:ptCount val="1"/>
                <c:pt idx="0">
                  <c:v>Disruption</c:v>
                </c:pt>
              </c:strCache>
            </c:strRef>
          </c:tx>
          <c:spPr>
            <a:solidFill>
              <a:schemeClr val="tx1">
                <a:lumMod val="75000"/>
                <a:lumOff val="25000"/>
              </a:schemeClr>
            </a:solidFill>
          </c:spPr>
          <c:cat>
            <c:strRef>
              <c:f>SUMMARY!$Y$23:$Y$27</c:f>
              <c:strCache>
                <c:ptCount val="5"/>
                <c:pt idx="0">
                  <c:v>CV</c:v>
                </c:pt>
                <c:pt idx="1">
                  <c:v>HEV</c:v>
                </c:pt>
                <c:pt idx="2">
                  <c:v>PHEV20</c:v>
                </c:pt>
                <c:pt idx="3">
                  <c:v>PHEV60</c:v>
                </c:pt>
                <c:pt idx="4">
                  <c:v>BEV240</c:v>
                </c:pt>
              </c:strCache>
            </c:strRef>
          </c:cat>
          <c:val>
            <c:numRef>
              <c:f>SUMMARY!$AH$23:$AH$27</c:f>
              <c:numCache>
                <c:formatCode>"$"#,##0</c:formatCode>
                <c:ptCount val="5"/>
                <c:pt idx="0">
                  <c:v>335.04288137349306</c:v>
                </c:pt>
                <c:pt idx="1">
                  <c:v>239.31634383820932</c:v>
                </c:pt>
                <c:pt idx="2">
                  <c:v>194.46127091397832</c:v>
                </c:pt>
                <c:pt idx="3">
                  <c:v>168.42228059307067</c:v>
                </c:pt>
                <c:pt idx="4">
                  <c:v>0</c:v>
                </c:pt>
              </c:numCache>
            </c:numRef>
          </c:val>
        </c:ser>
        <c:ser>
          <c:idx val="2"/>
          <c:order val="9"/>
          <c:tx>
            <c:strRef>
              <c:f>SUMMARY!$AI$22</c:f>
              <c:strCache>
                <c:ptCount val="1"/>
                <c:pt idx="0">
                  <c:v>Monopsony</c:v>
                </c:pt>
              </c:strCache>
            </c:strRef>
          </c:tx>
          <c:spPr>
            <a:solidFill>
              <a:schemeClr val="tx1">
                <a:lumMod val="50000"/>
                <a:lumOff val="50000"/>
              </a:schemeClr>
            </a:solidFill>
          </c:spPr>
          <c:cat>
            <c:strRef>
              <c:f>SUMMARY!$Y$23:$Y$27</c:f>
              <c:strCache>
                <c:ptCount val="5"/>
                <c:pt idx="0">
                  <c:v>CV</c:v>
                </c:pt>
                <c:pt idx="1">
                  <c:v>HEV</c:v>
                </c:pt>
                <c:pt idx="2">
                  <c:v>PHEV20</c:v>
                </c:pt>
                <c:pt idx="3">
                  <c:v>PHEV60</c:v>
                </c:pt>
                <c:pt idx="4">
                  <c:v>BEV240</c:v>
                </c:pt>
              </c:strCache>
            </c:strRef>
          </c:cat>
          <c:val>
            <c:numRef>
              <c:f>SUMMARY!$AI$23:$AI$27</c:f>
              <c:numCache>
                <c:formatCode>"$"#,##0</c:formatCode>
                <c:ptCount val="5"/>
                <c:pt idx="0">
                  <c:v>829.22473140215186</c:v>
                </c:pt>
                <c:pt idx="1">
                  <c:v>592.3033795729657</c:v>
                </c:pt>
                <c:pt idx="2">
                  <c:v>481.28793090818442</c:v>
                </c:pt>
                <c:pt idx="3">
                  <c:v>416.84192726136246</c:v>
                </c:pt>
                <c:pt idx="4">
                  <c:v>0</c:v>
                </c:pt>
              </c:numCache>
            </c:numRef>
          </c:val>
        </c:ser>
        <c:ser>
          <c:idx val="4"/>
          <c:order val="10"/>
          <c:tx>
            <c:strRef>
              <c:f>SUMMARY!$AJ$22</c:f>
              <c:strCache>
                <c:ptCount val="1"/>
                <c:pt idx="0">
                  <c:v>Military</c:v>
                </c:pt>
              </c:strCache>
            </c:strRef>
          </c:tx>
          <c:spPr>
            <a:solidFill>
              <a:schemeClr val="bg1">
                <a:lumMod val="75000"/>
              </a:schemeClr>
            </a:solidFill>
          </c:spPr>
          <c:cat>
            <c:strRef>
              <c:f>SUMMARY!$Y$23:$Y$27</c:f>
              <c:strCache>
                <c:ptCount val="5"/>
                <c:pt idx="0">
                  <c:v>CV</c:v>
                </c:pt>
                <c:pt idx="1">
                  <c:v>HEV</c:v>
                </c:pt>
                <c:pt idx="2">
                  <c:v>PHEV20</c:v>
                </c:pt>
                <c:pt idx="3">
                  <c:v>PHEV60</c:v>
                </c:pt>
                <c:pt idx="4">
                  <c:v>BEV240</c:v>
                </c:pt>
              </c:strCache>
            </c:strRef>
          </c:cat>
          <c:val>
            <c:numRef>
              <c:f>SUMMARY!$AJ$23:$AJ$27</c:f>
              <c:numCache>
                <c:formatCode>"$"#,##0</c:formatCode>
                <c:ptCount val="5"/>
                <c:pt idx="0">
                  <c:v>119.9726900992793</c:v>
                </c:pt>
                <c:pt idx="1">
                  <c:v>85.694778642342385</c:v>
                </c:pt>
                <c:pt idx="2">
                  <c:v>69.633002486231831</c:v>
                </c:pt>
                <c:pt idx="3">
                  <c:v>60.308919242135367</c:v>
                </c:pt>
                <c:pt idx="4">
                  <c:v>0</c:v>
                </c:pt>
              </c:numCache>
            </c:numRef>
          </c:val>
        </c:ser>
        <c:gapWidth val="25"/>
        <c:shape val="box"/>
        <c:axId val="102728832"/>
        <c:axId val="102730368"/>
        <c:axId val="0"/>
      </c:bar3DChart>
      <c:catAx>
        <c:axId val="102728832"/>
        <c:scaling>
          <c:orientation val="minMax"/>
        </c:scaling>
        <c:axPos val="b"/>
        <c:majorTickMark val="none"/>
        <c:tickLblPos val="nextTo"/>
        <c:crossAx val="102730368"/>
        <c:crosses val="autoZero"/>
        <c:auto val="1"/>
        <c:lblAlgn val="ctr"/>
        <c:lblOffset val="100"/>
      </c:catAx>
      <c:valAx>
        <c:axId val="102730368"/>
        <c:scaling>
          <c:orientation val="minMax"/>
        </c:scaling>
        <c:axPos val="l"/>
        <c:majorGridlines/>
        <c:numFmt formatCode="&quot;$&quot;#,##0" sourceLinked="1"/>
        <c:majorTickMark val="none"/>
        <c:tickLblPos val="nextTo"/>
        <c:crossAx val="102728832"/>
        <c:crosses val="autoZero"/>
        <c:crossBetween val="between"/>
      </c:valAx>
    </c:plotArea>
    <c:legend>
      <c:legendPos val="r"/>
      <c:legendEntry>
        <c:idx val="8"/>
        <c:delete val="1"/>
      </c:legendEntry>
      <c:layout>
        <c:manualLayout>
          <c:xMode val="edge"/>
          <c:yMode val="edge"/>
          <c:x val="0.77136859885057962"/>
          <c:y val="0.17233702444891719"/>
          <c:w val="0.19339089183311456"/>
          <c:h val="0.73682459964193969"/>
        </c:manualLayout>
      </c:layout>
    </c:legend>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NPV</a:t>
            </a:r>
            <a:r>
              <a:rPr lang="en-US" baseline="0"/>
              <a:t> </a:t>
            </a:r>
            <a:r>
              <a:rPr lang="en-US"/>
              <a:t>Cost of Ownership</a:t>
            </a:r>
          </a:p>
        </c:rich>
      </c:tx>
    </c:title>
    <c:view3D>
      <c:depthPercent val="100"/>
      <c:rAngAx val="1"/>
    </c:view3D>
    <c:plotArea>
      <c:layout>
        <c:manualLayout>
          <c:layoutTarget val="inner"/>
          <c:xMode val="edge"/>
          <c:yMode val="edge"/>
          <c:x val="0.14192015991802828"/>
          <c:y val="0.17278713176433394"/>
          <c:w val="0.56274112475895144"/>
          <c:h val="0.66790526967451502"/>
        </c:manualLayout>
      </c:layout>
      <c:bar3DChart>
        <c:barDir val="col"/>
        <c:grouping val="stacked"/>
        <c:ser>
          <c:idx val="0"/>
          <c:order val="0"/>
          <c:tx>
            <c:strRef>
              <c:f>SUMMARY!$Z$39</c:f>
              <c:strCache>
                <c:ptCount val="1"/>
                <c:pt idx="0">
                  <c:v>Base Vehicle</c:v>
                </c:pt>
              </c:strCache>
            </c:strRef>
          </c:tx>
          <c:spPr>
            <a:solidFill>
              <a:schemeClr val="tx2"/>
            </a:solidFill>
          </c:spPr>
          <c:cat>
            <c:strRef>
              <c:f>SUMMARY!$Y$40:$Y$44</c:f>
              <c:strCache>
                <c:ptCount val="5"/>
                <c:pt idx="0">
                  <c:v>CV</c:v>
                </c:pt>
                <c:pt idx="1">
                  <c:v>HEV</c:v>
                </c:pt>
                <c:pt idx="2">
                  <c:v>PHEV20</c:v>
                </c:pt>
                <c:pt idx="3">
                  <c:v>PHEV60</c:v>
                </c:pt>
                <c:pt idx="4">
                  <c:v>BEV240</c:v>
                </c:pt>
              </c:strCache>
            </c:strRef>
          </c:cat>
          <c:val>
            <c:numRef>
              <c:f>SUMMARY!$Z$40:$Z$44</c:f>
              <c:numCache>
                <c:formatCode>"$"#,##0</c:formatCode>
                <c:ptCount val="5"/>
                <c:pt idx="0">
                  <c:v>23019.490021615933</c:v>
                </c:pt>
                <c:pt idx="1">
                  <c:v>24799.941964129226</c:v>
                </c:pt>
                <c:pt idx="2">
                  <c:v>25665.680796868604</c:v>
                </c:pt>
                <c:pt idx="3">
                  <c:v>25728.873412397024</c:v>
                </c:pt>
                <c:pt idx="4">
                  <c:v>20496.524846643686</c:v>
                </c:pt>
              </c:numCache>
            </c:numRef>
          </c:val>
        </c:ser>
        <c:ser>
          <c:idx val="4"/>
          <c:order val="1"/>
          <c:tx>
            <c:strRef>
              <c:f>SUMMARY!$AA$39</c:f>
              <c:strCache>
                <c:ptCount val="1"/>
                <c:pt idx="0">
                  <c:v>Initial Battery</c:v>
                </c:pt>
              </c:strCache>
            </c:strRef>
          </c:tx>
          <c:spPr>
            <a:solidFill>
              <a:schemeClr val="accent1"/>
            </a:solidFill>
          </c:spPr>
          <c:cat>
            <c:strRef>
              <c:f>SUMMARY!$Y$40:$Y$44</c:f>
              <c:strCache>
                <c:ptCount val="5"/>
                <c:pt idx="0">
                  <c:v>CV</c:v>
                </c:pt>
                <c:pt idx="1">
                  <c:v>HEV</c:v>
                </c:pt>
                <c:pt idx="2">
                  <c:v>PHEV20</c:v>
                </c:pt>
                <c:pt idx="3">
                  <c:v>PHEV60</c:v>
                </c:pt>
                <c:pt idx="4">
                  <c:v>BEV240</c:v>
                </c:pt>
              </c:strCache>
            </c:strRef>
          </c:cat>
          <c:val>
            <c:numRef>
              <c:f>SUMMARY!$AA$40:$AA$44</c:f>
              <c:numCache>
                <c:formatCode>"$"#,##0</c:formatCode>
                <c:ptCount val="5"/>
                <c:pt idx="0">
                  <c:v>0</c:v>
                </c:pt>
                <c:pt idx="1">
                  <c:v>2067.978343167611</c:v>
                </c:pt>
                <c:pt idx="2">
                  <c:v>2631.9724367587778</c:v>
                </c:pt>
                <c:pt idx="3">
                  <c:v>8730.0598352515044</c:v>
                </c:pt>
                <c:pt idx="4">
                  <c:v>31953.346041946596</c:v>
                </c:pt>
              </c:numCache>
            </c:numRef>
          </c:val>
        </c:ser>
        <c:ser>
          <c:idx val="5"/>
          <c:order val="2"/>
          <c:tx>
            <c:strRef>
              <c:f>SUMMARY!$AB$39</c:f>
              <c:strCache>
                <c:ptCount val="1"/>
                <c:pt idx="0">
                  <c:v>Replacement Battery</c:v>
                </c:pt>
              </c:strCache>
            </c:strRef>
          </c:tx>
          <c:spPr>
            <a:solidFill>
              <a:schemeClr val="accent1">
                <a:lumMod val="60000"/>
                <a:lumOff val="40000"/>
              </a:schemeClr>
            </a:solidFill>
          </c:spPr>
          <c:cat>
            <c:strRef>
              <c:f>SUMMARY!$Y$40:$Y$44</c:f>
              <c:strCache>
                <c:ptCount val="5"/>
                <c:pt idx="0">
                  <c:v>CV</c:v>
                </c:pt>
                <c:pt idx="1">
                  <c:v>HEV</c:v>
                </c:pt>
                <c:pt idx="2">
                  <c:v>PHEV20</c:v>
                </c:pt>
                <c:pt idx="3">
                  <c:v>PHEV60</c:v>
                </c:pt>
                <c:pt idx="4">
                  <c:v>BEV240</c:v>
                </c:pt>
              </c:strCache>
            </c:strRef>
          </c:cat>
          <c:val>
            <c:numRef>
              <c:f>SUMMARY!$AB$40:$AB$44</c:f>
              <c:numCache>
                <c:formatCode>"$"#,##0</c:formatCode>
                <c:ptCount val="5"/>
                <c:pt idx="0">
                  <c:v>0</c:v>
                </c:pt>
                <c:pt idx="1">
                  <c:v>0</c:v>
                </c:pt>
                <c:pt idx="2">
                  <c:v>0</c:v>
                </c:pt>
                <c:pt idx="3">
                  <c:v>0</c:v>
                </c:pt>
                <c:pt idx="4">
                  <c:v>0</c:v>
                </c:pt>
              </c:numCache>
            </c:numRef>
          </c:val>
        </c:ser>
        <c:ser>
          <c:idx val="8"/>
          <c:order val="3"/>
          <c:tx>
            <c:strRef>
              <c:f>SUMMARY!$AF$39</c:f>
              <c:strCache>
                <c:ptCount val="1"/>
                <c:pt idx="0">
                  <c:v>Scheduled Maintenance</c:v>
                </c:pt>
              </c:strCache>
            </c:strRef>
          </c:tx>
          <c:spPr>
            <a:solidFill>
              <a:schemeClr val="accent4">
                <a:lumMod val="75000"/>
              </a:schemeClr>
            </a:solidFill>
          </c:spPr>
          <c:val>
            <c:numRef>
              <c:f>SUMMARY!$AF$40:$AF$44</c:f>
              <c:numCache>
                <c:formatCode>"$"#,##0_);[Red]\("$"#,##0\)</c:formatCode>
                <c:ptCount val="5"/>
                <c:pt idx="0">
                  <c:v>4379.9559833068452</c:v>
                </c:pt>
                <c:pt idx="1">
                  <c:v>3961.7852942126851</c:v>
                </c:pt>
                <c:pt idx="2">
                  <c:v>3234.9494096753001</c:v>
                </c:pt>
                <c:pt idx="3">
                  <c:v>3234.9494096753001</c:v>
                </c:pt>
                <c:pt idx="4">
                  <c:v>2232.3495903035837</c:v>
                </c:pt>
              </c:numCache>
            </c:numRef>
          </c:val>
        </c:ser>
        <c:ser>
          <c:idx val="7"/>
          <c:order val="4"/>
          <c:tx>
            <c:strRef>
              <c:f>SUMMARY!$AE$39</c:f>
              <c:strCache>
                <c:ptCount val="1"/>
                <c:pt idx="0">
                  <c:v>Charger Cost</c:v>
                </c:pt>
              </c:strCache>
            </c:strRef>
          </c:tx>
          <c:spPr>
            <a:solidFill>
              <a:schemeClr val="accent6">
                <a:lumMod val="50000"/>
              </a:schemeClr>
            </a:solidFill>
          </c:spPr>
          <c:val>
            <c:numRef>
              <c:f>SUMMARY!$AE$40:$AE$44</c:f>
              <c:numCache>
                <c:formatCode>"$"#,##0_);[Red]\("$"#,##0\)</c:formatCode>
                <c:ptCount val="5"/>
                <c:pt idx="0">
                  <c:v>0</c:v>
                </c:pt>
                <c:pt idx="1">
                  <c:v>0</c:v>
                </c:pt>
                <c:pt idx="2">
                  <c:v>1200</c:v>
                </c:pt>
                <c:pt idx="3">
                  <c:v>2400</c:v>
                </c:pt>
                <c:pt idx="4">
                  <c:v>2400</c:v>
                </c:pt>
              </c:numCache>
            </c:numRef>
          </c:val>
        </c:ser>
        <c:ser>
          <c:idx val="2"/>
          <c:order val="5"/>
          <c:tx>
            <c:strRef>
              <c:f>SUMMARY!$AD$39</c:f>
              <c:strCache>
                <c:ptCount val="1"/>
                <c:pt idx="0">
                  <c:v>Electricity</c:v>
                </c:pt>
              </c:strCache>
            </c:strRef>
          </c:tx>
          <c:spPr>
            <a:solidFill>
              <a:srgbClr val="CCCC00"/>
            </a:solidFill>
          </c:spPr>
          <c:cat>
            <c:strRef>
              <c:f>SUMMARY!$Y$40:$Y$44</c:f>
              <c:strCache>
                <c:ptCount val="5"/>
                <c:pt idx="0">
                  <c:v>CV</c:v>
                </c:pt>
                <c:pt idx="1">
                  <c:v>HEV</c:v>
                </c:pt>
                <c:pt idx="2">
                  <c:v>PHEV20</c:v>
                </c:pt>
                <c:pt idx="3">
                  <c:v>PHEV60</c:v>
                </c:pt>
                <c:pt idx="4">
                  <c:v>BEV240</c:v>
                </c:pt>
              </c:strCache>
            </c:strRef>
          </c:cat>
          <c:val>
            <c:numRef>
              <c:f>SUMMARY!$AD$40:$AD$44</c:f>
              <c:numCache>
                <c:formatCode>"$"#,##0</c:formatCode>
                <c:ptCount val="5"/>
                <c:pt idx="0">
                  <c:v>0</c:v>
                </c:pt>
                <c:pt idx="1">
                  <c:v>0</c:v>
                </c:pt>
                <c:pt idx="2">
                  <c:v>787.62568701449754</c:v>
                </c:pt>
                <c:pt idx="3">
                  <c:v>2314.2026082352727</c:v>
                </c:pt>
                <c:pt idx="4">
                  <c:v>5281.9362399936672</c:v>
                </c:pt>
              </c:numCache>
            </c:numRef>
          </c:val>
        </c:ser>
        <c:ser>
          <c:idx val="1"/>
          <c:order val="6"/>
          <c:tx>
            <c:strRef>
              <c:f>SUMMARY!$AC$39</c:f>
              <c:strCache>
                <c:ptCount val="1"/>
                <c:pt idx="0">
                  <c:v>Gasoline</c:v>
                </c:pt>
              </c:strCache>
            </c:strRef>
          </c:tx>
          <c:spPr>
            <a:solidFill>
              <a:schemeClr val="tx1">
                <a:lumMod val="75000"/>
                <a:lumOff val="25000"/>
              </a:schemeClr>
            </a:solidFill>
          </c:spPr>
          <c:cat>
            <c:strRef>
              <c:f>SUMMARY!$Y$40:$Y$44</c:f>
              <c:strCache>
                <c:ptCount val="5"/>
                <c:pt idx="0">
                  <c:v>CV</c:v>
                </c:pt>
                <c:pt idx="1">
                  <c:v>HEV</c:v>
                </c:pt>
                <c:pt idx="2">
                  <c:v>PHEV20</c:v>
                </c:pt>
                <c:pt idx="3">
                  <c:v>PHEV60</c:v>
                </c:pt>
                <c:pt idx="4">
                  <c:v>BEV240</c:v>
                </c:pt>
              </c:strCache>
            </c:strRef>
          </c:cat>
          <c:val>
            <c:numRef>
              <c:f>SUMMARY!$AC$40:$AC$44</c:f>
              <c:numCache>
                <c:formatCode>"$"#,##0</c:formatCode>
                <c:ptCount val="5"/>
                <c:pt idx="0">
                  <c:v>12386.239508244789</c:v>
                </c:pt>
                <c:pt idx="1">
                  <c:v>8847.3139344605643</c:v>
                </c:pt>
                <c:pt idx="2">
                  <c:v>7189.0614919024256</c:v>
                </c:pt>
                <c:pt idx="3">
                  <c:v>6226.4230100894329</c:v>
                </c:pt>
                <c:pt idx="4">
                  <c:v>0</c:v>
                </c:pt>
              </c:numCache>
            </c:numRef>
          </c:val>
        </c:ser>
        <c:ser>
          <c:idx val="6"/>
          <c:order val="7"/>
          <c:tx>
            <c:strRef>
              <c:f>SUMMARY!$AH$39</c:f>
              <c:strCache>
                <c:ptCount val="1"/>
                <c:pt idx="0">
                  <c:v>Oil Premium</c:v>
                </c:pt>
              </c:strCache>
            </c:strRef>
          </c:tx>
          <c:spPr>
            <a:solidFill>
              <a:schemeClr val="tx1">
                <a:lumMod val="50000"/>
                <a:lumOff val="50000"/>
              </a:schemeClr>
            </a:solidFill>
          </c:spPr>
          <c:cat>
            <c:strRef>
              <c:f>SUMMARY!$Y$40:$Y$44</c:f>
              <c:strCache>
                <c:ptCount val="5"/>
                <c:pt idx="0">
                  <c:v>CV</c:v>
                </c:pt>
                <c:pt idx="1">
                  <c:v>HEV</c:v>
                </c:pt>
                <c:pt idx="2">
                  <c:v>PHEV20</c:v>
                </c:pt>
                <c:pt idx="3">
                  <c:v>PHEV60</c:v>
                </c:pt>
                <c:pt idx="4">
                  <c:v>BEV240</c:v>
                </c:pt>
              </c:strCache>
            </c:strRef>
          </c:cat>
          <c:val>
            <c:numRef>
              <c:f>SUMMARY!$AH$40:$AH$44</c:f>
              <c:numCache>
                <c:formatCode>"$"#,##0</c:formatCode>
                <c:ptCount val="5"/>
                <c:pt idx="0">
                  <c:v>1284.2403028749243</c:v>
                </c:pt>
                <c:pt idx="1">
                  <c:v>917.31450205351746</c:v>
                </c:pt>
                <c:pt idx="2">
                  <c:v>745.38220430839453</c:v>
                </c:pt>
                <c:pt idx="3">
                  <c:v>645.57312709656856</c:v>
                </c:pt>
                <c:pt idx="4">
                  <c:v>0</c:v>
                </c:pt>
              </c:numCache>
            </c:numRef>
          </c:val>
        </c:ser>
        <c:ser>
          <c:idx val="3"/>
          <c:order val="8"/>
          <c:tx>
            <c:strRef>
              <c:f>SUMMARY!$AG$39</c:f>
              <c:strCache>
                <c:ptCount val="1"/>
                <c:pt idx="0">
                  <c:v>Air Emissions Damages</c:v>
                </c:pt>
              </c:strCache>
            </c:strRef>
          </c:tx>
          <c:spPr>
            <a:solidFill>
              <a:srgbClr val="C00000"/>
            </a:solidFill>
          </c:spPr>
          <c:cat>
            <c:strRef>
              <c:f>SUMMARY!$Y$40:$Y$44</c:f>
              <c:strCache>
                <c:ptCount val="5"/>
                <c:pt idx="0">
                  <c:v>CV</c:v>
                </c:pt>
                <c:pt idx="1">
                  <c:v>HEV</c:v>
                </c:pt>
                <c:pt idx="2">
                  <c:v>PHEV20</c:v>
                </c:pt>
                <c:pt idx="3">
                  <c:v>PHEV60</c:v>
                </c:pt>
                <c:pt idx="4">
                  <c:v>BEV240</c:v>
                </c:pt>
              </c:strCache>
            </c:strRef>
          </c:cat>
          <c:val>
            <c:numRef>
              <c:f>SUMMARY!$AG$40:$AG$44</c:f>
              <c:numCache>
                <c:formatCode>"$"#,##0</c:formatCode>
                <c:ptCount val="5"/>
                <c:pt idx="0">
                  <c:v>3517.2943095706469</c:v>
                </c:pt>
                <c:pt idx="1">
                  <c:v>2992.9127558241985</c:v>
                </c:pt>
                <c:pt idx="2">
                  <c:v>2887.4067215758</c:v>
                </c:pt>
                <c:pt idx="3">
                  <c:v>3500.3170262031931</c:v>
                </c:pt>
                <c:pt idx="4">
                  <c:v>4667.4752102121438</c:v>
                </c:pt>
              </c:numCache>
            </c:numRef>
          </c:val>
        </c:ser>
        <c:gapWidth val="25"/>
        <c:shape val="box"/>
        <c:axId val="130655744"/>
        <c:axId val="130657280"/>
        <c:axId val="0"/>
      </c:bar3DChart>
      <c:catAx>
        <c:axId val="130655744"/>
        <c:scaling>
          <c:orientation val="minMax"/>
        </c:scaling>
        <c:axPos val="b"/>
        <c:majorTickMark val="none"/>
        <c:tickLblPos val="nextTo"/>
        <c:crossAx val="130657280"/>
        <c:crosses val="autoZero"/>
        <c:auto val="1"/>
        <c:lblAlgn val="ctr"/>
        <c:lblOffset val="100"/>
      </c:catAx>
      <c:valAx>
        <c:axId val="130657280"/>
        <c:scaling>
          <c:orientation val="minMax"/>
        </c:scaling>
        <c:axPos val="l"/>
        <c:majorGridlines/>
        <c:numFmt formatCode="&quot;$&quot;#,##0" sourceLinked="1"/>
        <c:majorTickMark val="none"/>
        <c:tickLblPos val="nextTo"/>
        <c:crossAx val="130655744"/>
        <c:crosses val="autoZero"/>
        <c:crossBetween val="between"/>
      </c:valAx>
    </c:plotArea>
    <c:legend>
      <c:legendPos val="r"/>
      <c:layout>
        <c:manualLayout>
          <c:xMode val="edge"/>
          <c:yMode val="edge"/>
          <c:x val="0.71385674795604259"/>
          <c:y val="0.18550111926706392"/>
          <c:w val="0.28614325204395724"/>
          <c:h val="0.58521913742806819"/>
        </c:manualLayout>
      </c:layout>
    </c:legend>
    <c:plotVisOnly val="1"/>
    <c:dispBlanksAs val="gap"/>
  </c:chart>
  <c:spPr>
    <a:ln>
      <a:noFill/>
    </a:ln>
  </c:spPr>
  <c:printSettings>
    <c:headerFooter/>
    <c:pageMargins b="0.75000000000001055" l="0.70000000000000062" r="0.70000000000000062" t="0.750000000000010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Breakdown of Emissions and Oil Premium</a:t>
            </a:r>
          </a:p>
        </c:rich>
      </c:tx>
    </c:title>
    <c:plotArea>
      <c:layout>
        <c:manualLayout>
          <c:layoutTarget val="inner"/>
          <c:xMode val="edge"/>
          <c:yMode val="edge"/>
          <c:x val="0.11083498158659599"/>
          <c:y val="0.1256828197769726"/>
          <c:w val="0.71513159970822926"/>
          <c:h val="0.61727166548992563"/>
        </c:manualLayout>
      </c:layout>
      <c:barChart>
        <c:barDir val="col"/>
        <c:grouping val="stacked"/>
        <c:ser>
          <c:idx val="1"/>
          <c:order val="0"/>
          <c:tx>
            <c:strRef>
              <c:f>SUMMARY!$AA$57</c:f>
              <c:strCache>
                <c:ptCount val="1"/>
                <c:pt idx="0">
                  <c:v>GHGs</c:v>
                </c:pt>
              </c:strCache>
            </c:strRef>
          </c:tx>
          <c:spPr>
            <a:solidFill>
              <a:srgbClr val="008000"/>
            </a:solidFill>
          </c:spPr>
          <c:cat>
            <c:multiLvlStrRef>
              <c:f>SUMMARY!$Y$58:$Z$82</c:f>
              <c:multiLvlStrCache>
                <c:ptCount val="25"/>
                <c:lvl>
                  <c:pt idx="0">
                    <c:v>CV</c:v>
                  </c:pt>
                  <c:pt idx="1">
                    <c:v>HEV</c:v>
                  </c:pt>
                  <c:pt idx="2">
                    <c:v>PHEV20</c:v>
                  </c:pt>
                  <c:pt idx="3">
                    <c:v>PHEV60</c:v>
                  </c:pt>
                  <c:pt idx="4">
                    <c:v>BEV240</c:v>
                  </c:pt>
                  <c:pt idx="5">
                    <c:v>CV</c:v>
                  </c:pt>
                  <c:pt idx="6">
                    <c:v>HEV</c:v>
                  </c:pt>
                  <c:pt idx="7">
                    <c:v>PHEV20</c:v>
                  </c:pt>
                  <c:pt idx="8">
                    <c:v>PHEV60</c:v>
                  </c:pt>
                  <c:pt idx="9">
                    <c:v>BEV240</c:v>
                  </c:pt>
                  <c:pt idx="10">
                    <c:v>CV</c:v>
                  </c:pt>
                  <c:pt idx="11">
                    <c:v>HEV</c:v>
                  </c:pt>
                  <c:pt idx="12">
                    <c:v>PHEV20</c:v>
                  </c:pt>
                  <c:pt idx="13">
                    <c:v>PHEV60</c:v>
                  </c:pt>
                  <c:pt idx="14">
                    <c:v>BEV240</c:v>
                  </c:pt>
                  <c:pt idx="15">
                    <c:v>CV</c:v>
                  </c:pt>
                  <c:pt idx="16">
                    <c:v>HEV</c:v>
                  </c:pt>
                  <c:pt idx="17">
                    <c:v>PHEV20</c:v>
                  </c:pt>
                  <c:pt idx="18">
                    <c:v>PHEV60</c:v>
                  </c:pt>
                  <c:pt idx="19">
                    <c:v>BEV240</c:v>
                  </c:pt>
                  <c:pt idx="20">
                    <c:v>CV</c:v>
                  </c:pt>
                  <c:pt idx="21">
                    <c:v>HEV</c:v>
                  </c:pt>
                  <c:pt idx="22">
                    <c:v>PHEV20</c:v>
                  </c:pt>
                  <c:pt idx="23">
                    <c:v>PHEV60</c:v>
                  </c:pt>
                  <c:pt idx="24">
                    <c:v>BEV240</c:v>
                  </c:pt>
                </c:lvl>
                <c:lvl>
                  <c:pt idx="0">
                    <c:v>Vehicle Production</c:v>
                  </c:pt>
                  <c:pt idx="5">
                    <c:v>Battery Production</c:v>
                  </c:pt>
                  <c:pt idx="10">
                    <c:v>Gasoline Production</c:v>
                  </c:pt>
                  <c:pt idx="15">
                    <c:v>Electricity Production</c:v>
                  </c:pt>
                  <c:pt idx="20">
                    <c:v>Vehicle Operation</c:v>
                  </c:pt>
                </c:lvl>
              </c:multiLvlStrCache>
            </c:multiLvlStrRef>
          </c:cat>
          <c:val>
            <c:numRef>
              <c:f>SUMMARY!$AA$58:$AA$82</c:f>
              <c:numCache>
                <c:formatCode>"$"#,##0</c:formatCode>
                <c:ptCount val="25"/>
                <c:pt idx="0">
                  <c:v>315.74998602918447</c:v>
                </c:pt>
                <c:pt idx="1">
                  <c:v>287.3921752306137</c:v>
                </c:pt>
                <c:pt idx="2">
                  <c:v>290.87308986036447</c:v>
                </c:pt>
                <c:pt idx="3">
                  <c:v>290.87308986036447</c:v>
                </c:pt>
                <c:pt idx="4">
                  <c:v>290.87308986036447</c:v>
                </c:pt>
                <c:pt idx="5">
                  <c:v>11.818650495106972</c:v>
                </c:pt>
                <c:pt idx="6">
                  <c:v>29.841685170651537</c:v>
                </c:pt>
                <c:pt idx="7">
                  <c:v>44.01433256072476</c:v>
                </c:pt>
                <c:pt idx="8">
                  <c:v>150.95883874088184</c:v>
                </c:pt>
                <c:pt idx="9">
                  <c:v>531.55467766600873</c:v>
                </c:pt>
                <c:pt idx="10">
                  <c:v>289.52229789655371</c:v>
                </c:pt>
                <c:pt idx="11">
                  <c:v>206.80164135468124</c:v>
                </c:pt>
                <c:pt idx="12">
                  <c:v>168.04080055692094</c:v>
                </c:pt>
                <c:pt idx="13">
                  <c:v>145.53959628805225</c:v>
                </c:pt>
                <c:pt idx="14">
                  <c:v>0</c:v>
                </c:pt>
                <c:pt idx="15">
                  <c:v>0</c:v>
                </c:pt>
                <c:pt idx="16">
                  <c:v>0</c:v>
                </c:pt>
                <c:pt idx="17">
                  <c:v>149.3217274420262</c:v>
                </c:pt>
                <c:pt idx="18">
                  <c:v>438.73725401514599</c:v>
                </c:pt>
                <c:pt idx="19">
                  <c:v>1001.3739478001274</c:v>
                </c:pt>
                <c:pt idx="20">
                  <c:v>1407.6500251373261</c:v>
                </c:pt>
                <c:pt idx="21">
                  <c:v>1009.3880874553493</c:v>
                </c:pt>
                <c:pt idx="22">
                  <c:v>818.74042762098486</c:v>
                </c:pt>
                <c:pt idx="23">
                  <c:v>707.82059160599943</c:v>
                </c:pt>
                <c:pt idx="24">
                  <c:v>0</c:v>
                </c:pt>
              </c:numCache>
            </c:numRef>
          </c:val>
        </c:ser>
        <c:ser>
          <c:idx val="2"/>
          <c:order val="1"/>
          <c:tx>
            <c:strRef>
              <c:f>SUMMARY!$AB$57</c:f>
              <c:strCache>
                <c:ptCount val="1"/>
                <c:pt idx="0">
                  <c:v>CO</c:v>
                </c:pt>
              </c:strCache>
            </c:strRef>
          </c:tx>
          <c:spPr>
            <a:solidFill>
              <a:srgbClr val="C00000"/>
            </a:solidFill>
          </c:spPr>
          <c:cat>
            <c:multiLvlStrRef>
              <c:f>SUMMARY!$Y$58:$Z$82</c:f>
              <c:multiLvlStrCache>
                <c:ptCount val="25"/>
                <c:lvl>
                  <c:pt idx="0">
                    <c:v>CV</c:v>
                  </c:pt>
                  <c:pt idx="1">
                    <c:v>HEV</c:v>
                  </c:pt>
                  <c:pt idx="2">
                    <c:v>PHEV20</c:v>
                  </c:pt>
                  <c:pt idx="3">
                    <c:v>PHEV60</c:v>
                  </c:pt>
                  <c:pt idx="4">
                    <c:v>BEV240</c:v>
                  </c:pt>
                  <c:pt idx="5">
                    <c:v>CV</c:v>
                  </c:pt>
                  <c:pt idx="6">
                    <c:v>HEV</c:v>
                  </c:pt>
                  <c:pt idx="7">
                    <c:v>PHEV20</c:v>
                  </c:pt>
                  <c:pt idx="8">
                    <c:v>PHEV60</c:v>
                  </c:pt>
                  <c:pt idx="9">
                    <c:v>BEV240</c:v>
                  </c:pt>
                  <c:pt idx="10">
                    <c:v>CV</c:v>
                  </c:pt>
                  <c:pt idx="11">
                    <c:v>HEV</c:v>
                  </c:pt>
                  <c:pt idx="12">
                    <c:v>PHEV20</c:v>
                  </c:pt>
                  <c:pt idx="13">
                    <c:v>PHEV60</c:v>
                  </c:pt>
                  <c:pt idx="14">
                    <c:v>BEV240</c:v>
                  </c:pt>
                  <c:pt idx="15">
                    <c:v>CV</c:v>
                  </c:pt>
                  <c:pt idx="16">
                    <c:v>HEV</c:v>
                  </c:pt>
                  <c:pt idx="17">
                    <c:v>PHEV20</c:v>
                  </c:pt>
                  <c:pt idx="18">
                    <c:v>PHEV60</c:v>
                  </c:pt>
                  <c:pt idx="19">
                    <c:v>BEV240</c:v>
                  </c:pt>
                  <c:pt idx="20">
                    <c:v>CV</c:v>
                  </c:pt>
                  <c:pt idx="21">
                    <c:v>HEV</c:v>
                  </c:pt>
                  <c:pt idx="22">
                    <c:v>PHEV20</c:v>
                  </c:pt>
                  <c:pt idx="23">
                    <c:v>PHEV60</c:v>
                  </c:pt>
                  <c:pt idx="24">
                    <c:v>BEV240</c:v>
                  </c:pt>
                </c:lvl>
                <c:lvl>
                  <c:pt idx="0">
                    <c:v>Vehicle Production</c:v>
                  </c:pt>
                  <c:pt idx="5">
                    <c:v>Battery Production</c:v>
                  </c:pt>
                  <c:pt idx="10">
                    <c:v>Gasoline Production</c:v>
                  </c:pt>
                  <c:pt idx="15">
                    <c:v>Electricity Production</c:v>
                  </c:pt>
                  <c:pt idx="20">
                    <c:v>Vehicle Operation</c:v>
                  </c:pt>
                </c:lvl>
              </c:multiLvlStrCache>
            </c:multiLvlStrRef>
          </c:cat>
          <c:val>
            <c:numRef>
              <c:f>SUMMARY!$AB$58:$AB$82</c:f>
              <c:numCache>
                <c:formatCode>"$"#,##0</c:formatCode>
                <c:ptCount val="25"/>
                <c:pt idx="0">
                  <c:v>17.82730736054982</c:v>
                </c:pt>
                <c:pt idx="1">
                  <c:v>15.665186225845471</c:v>
                </c:pt>
                <c:pt idx="2">
                  <c:v>15.937544789563287</c:v>
                </c:pt>
                <c:pt idx="3">
                  <c:v>15.937544789563287</c:v>
                </c:pt>
                <c:pt idx="4">
                  <c:v>15.937544789563287</c:v>
                </c:pt>
                <c:pt idx="5">
                  <c:v>3.5529185212048744E-2</c:v>
                </c:pt>
                <c:pt idx="6">
                  <c:v>0.24385250701366709</c:v>
                </c:pt>
                <c:pt idx="7">
                  <c:v>0.1329256395813459</c:v>
                </c:pt>
                <c:pt idx="8">
                  <c:v>0.45590377094561929</c:v>
                </c:pt>
                <c:pt idx="9">
                  <c:v>1.8908901286179916</c:v>
                </c:pt>
                <c:pt idx="10">
                  <c:v>2.3423783025693719</c:v>
                </c:pt>
                <c:pt idx="11">
                  <c:v>1.6731273589781226</c:v>
                </c:pt>
                <c:pt idx="12">
                  <c:v>1.3595330239868344</c:v>
                </c:pt>
                <c:pt idx="13">
                  <c:v>1.1774871745168525</c:v>
                </c:pt>
                <c:pt idx="14">
                  <c:v>0</c:v>
                </c:pt>
                <c:pt idx="15">
                  <c:v>0</c:v>
                </c:pt>
                <c:pt idx="16">
                  <c:v>0</c:v>
                </c:pt>
                <c:pt idx="17">
                  <c:v>6.102421820231043E-3</c:v>
                </c:pt>
                <c:pt idx="18">
                  <c:v>1.793014210399994E-2</c:v>
                </c:pt>
                <c:pt idx="19">
                  <c:v>4.0923757941649222E-2</c:v>
                </c:pt>
                <c:pt idx="20">
                  <c:v>292.04749719495413</c:v>
                </c:pt>
                <c:pt idx="21">
                  <c:v>292.04749719495413</c:v>
                </c:pt>
                <c:pt idx="22">
                  <c:v>209.13521274130665</c:v>
                </c:pt>
                <c:pt idx="23">
                  <c:v>156.24541099930042</c:v>
                </c:pt>
                <c:pt idx="24">
                  <c:v>0</c:v>
                </c:pt>
              </c:numCache>
            </c:numRef>
          </c:val>
        </c:ser>
        <c:ser>
          <c:idx val="3"/>
          <c:order val="2"/>
          <c:tx>
            <c:strRef>
              <c:f>SUMMARY!$AC$57</c:f>
              <c:strCache>
                <c:ptCount val="1"/>
                <c:pt idx="0">
                  <c:v>NH3</c:v>
                </c:pt>
              </c:strCache>
            </c:strRef>
          </c:tx>
          <c:spPr>
            <a:solidFill>
              <a:schemeClr val="tx2">
                <a:lumMod val="40000"/>
                <a:lumOff val="60000"/>
              </a:schemeClr>
            </a:solidFill>
          </c:spPr>
          <c:cat>
            <c:multiLvlStrRef>
              <c:f>SUMMARY!$Y$58:$Z$82</c:f>
              <c:multiLvlStrCache>
                <c:ptCount val="25"/>
                <c:lvl>
                  <c:pt idx="0">
                    <c:v>CV</c:v>
                  </c:pt>
                  <c:pt idx="1">
                    <c:v>HEV</c:v>
                  </c:pt>
                  <c:pt idx="2">
                    <c:v>PHEV20</c:v>
                  </c:pt>
                  <c:pt idx="3">
                    <c:v>PHEV60</c:v>
                  </c:pt>
                  <c:pt idx="4">
                    <c:v>BEV240</c:v>
                  </c:pt>
                  <c:pt idx="5">
                    <c:v>CV</c:v>
                  </c:pt>
                  <c:pt idx="6">
                    <c:v>HEV</c:v>
                  </c:pt>
                  <c:pt idx="7">
                    <c:v>PHEV20</c:v>
                  </c:pt>
                  <c:pt idx="8">
                    <c:v>PHEV60</c:v>
                  </c:pt>
                  <c:pt idx="9">
                    <c:v>BEV240</c:v>
                  </c:pt>
                  <c:pt idx="10">
                    <c:v>CV</c:v>
                  </c:pt>
                  <c:pt idx="11">
                    <c:v>HEV</c:v>
                  </c:pt>
                  <c:pt idx="12">
                    <c:v>PHEV20</c:v>
                  </c:pt>
                  <c:pt idx="13">
                    <c:v>PHEV60</c:v>
                  </c:pt>
                  <c:pt idx="14">
                    <c:v>BEV240</c:v>
                  </c:pt>
                  <c:pt idx="15">
                    <c:v>CV</c:v>
                  </c:pt>
                  <c:pt idx="16">
                    <c:v>HEV</c:v>
                  </c:pt>
                  <c:pt idx="17">
                    <c:v>PHEV20</c:v>
                  </c:pt>
                  <c:pt idx="18">
                    <c:v>PHEV60</c:v>
                  </c:pt>
                  <c:pt idx="19">
                    <c:v>BEV240</c:v>
                  </c:pt>
                  <c:pt idx="20">
                    <c:v>CV</c:v>
                  </c:pt>
                  <c:pt idx="21">
                    <c:v>HEV</c:v>
                  </c:pt>
                  <c:pt idx="22">
                    <c:v>PHEV20</c:v>
                  </c:pt>
                  <c:pt idx="23">
                    <c:v>PHEV60</c:v>
                  </c:pt>
                  <c:pt idx="24">
                    <c:v>BEV240</c:v>
                  </c:pt>
                </c:lvl>
                <c:lvl>
                  <c:pt idx="0">
                    <c:v>Vehicle Production</c:v>
                  </c:pt>
                  <c:pt idx="5">
                    <c:v>Battery Production</c:v>
                  </c:pt>
                  <c:pt idx="10">
                    <c:v>Gasoline Production</c:v>
                  </c:pt>
                  <c:pt idx="15">
                    <c:v>Electricity Production</c:v>
                  </c:pt>
                  <c:pt idx="20">
                    <c:v>Vehicle Operation</c:v>
                  </c:pt>
                </c:lvl>
              </c:multiLvlStrCache>
            </c:multiLvlStrRef>
          </c:cat>
          <c:val>
            <c:numRef>
              <c:f>SUMMARY!$AC$58:$AC$82</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ser>
          <c:idx val="4"/>
          <c:order val="3"/>
          <c:tx>
            <c:strRef>
              <c:f>SUMMARY!$AD$57</c:f>
              <c:strCache>
                <c:ptCount val="1"/>
                <c:pt idx="0">
                  <c:v>NOx</c:v>
                </c:pt>
              </c:strCache>
            </c:strRef>
          </c:tx>
          <c:spPr>
            <a:solidFill>
              <a:schemeClr val="accent6"/>
            </a:solidFill>
          </c:spPr>
          <c:cat>
            <c:multiLvlStrRef>
              <c:f>SUMMARY!$Y$58:$Z$82</c:f>
              <c:multiLvlStrCache>
                <c:ptCount val="25"/>
                <c:lvl>
                  <c:pt idx="0">
                    <c:v>CV</c:v>
                  </c:pt>
                  <c:pt idx="1">
                    <c:v>HEV</c:v>
                  </c:pt>
                  <c:pt idx="2">
                    <c:v>PHEV20</c:v>
                  </c:pt>
                  <c:pt idx="3">
                    <c:v>PHEV60</c:v>
                  </c:pt>
                  <c:pt idx="4">
                    <c:v>BEV240</c:v>
                  </c:pt>
                  <c:pt idx="5">
                    <c:v>CV</c:v>
                  </c:pt>
                  <c:pt idx="6">
                    <c:v>HEV</c:v>
                  </c:pt>
                  <c:pt idx="7">
                    <c:v>PHEV20</c:v>
                  </c:pt>
                  <c:pt idx="8">
                    <c:v>PHEV60</c:v>
                  </c:pt>
                  <c:pt idx="9">
                    <c:v>BEV240</c:v>
                  </c:pt>
                  <c:pt idx="10">
                    <c:v>CV</c:v>
                  </c:pt>
                  <c:pt idx="11">
                    <c:v>HEV</c:v>
                  </c:pt>
                  <c:pt idx="12">
                    <c:v>PHEV20</c:v>
                  </c:pt>
                  <c:pt idx="13">
                    <c:v>PHEV60</c:v>
                  </c:pt>
                  <c:pt idx="14">
                    <c:v>BEV240</c:v>
                  </c:pt>
                  <c:pt idx="15">
                    <c:v>CV</c:v>
                  </c:pt>
                  <c:pt idx="16">
                    <c:v>HEV</c:v>
                  </c:pt>
                  <c:pt idx="17">
                    <c:v>PHEV20</c:v>
                  </c:pt>
                  <c:pt idx="18">
                    <c:v>PHEV60</c:v>
                  </c:pt>
                  <c:pt idx="19">
                    <c:v>BEV240</c:v>
                  </c:pt>
                  <c:pt idx="20">
                    <c:v>CV</c:v>
                  </c:pt>
                  <c:pt idx="21">
                    <c:v>HEV</c:v>
                  </c:pt>
                  <c:pt idx="22">
                    <c:v>PHEV20</c:v>
                  </c:pt>
                  <c:pt idx="23">
                    <c:v>PHEV60</c:v>
                  </c:pt>
                  <c:pt idx="24">
                    <c:v>BEV240</c:v>
                  </c:pt>
                </c:lvl>
                <c:lvl>
                  <c:pt idx="0">
                    <c:v>Vehicle Production</c:v>
                  </c:pt>
                  <c:pt idx="5">
                    <c:v>Battery Production</c:v>
                  </c:pt>
                  <c:pt idx="10">
                    <c:v>Gasoline Production</c:v>
                  </c:pt>
                  <c:pt idx="15">
                    <c:v>Electricity Production</c:v>
                  </c:pt>
                  <c:pt idx="20">
                    <c:v>Vehicle Operation</c:v>
                  </c:pt>
                </c:lvl>
              </c:multiLvlStrCache>
            </c:multiLvlStrRef>
          </c:cat>
          <c:val>
            <c:numRef>
              <c:f>SUMMARY!$AD$58:$AD$82</c:f>
              <c:numCache>
                <c:formatCode>"$"#,##0</c:formatCode>
                <c:ptCount val="25"/>
                <c:pt idx="0">
                  <c:v>29.876306949910955</c:v>
                </c:pt>
                <c:pt idx="1">
                  <c:v>27.768727601133531</c:v>
                </c:pt>
                <c:pt idx="2">
                  <c:v>27.999601076612837</c:v>
                </c:pt>
                <c:pt idx="3">
                  <c:v>27.999601076612837</c:v>
                </c:pt>
                <c:pt idx="4">
                  <c:v>27.999601076612837</c:v>
                </c:pt>
                <c:pt idx="5">
                  <c:v>0.81004533559386183</c:v>
                </c:pt>
                <c:pt idx="6">
                  <c:v>2.0123314763674829</c:v>
                </c:pt>
                <c:pt idx="7">
                  <c:v>3.1011682362824153</c:v>
                </c:pt>
                <c:pt idx="8">
                  <c:v>10.636279785531599</c:v>
                </c:pt>
                <c:pt idx="9">
                  <c:v>44.114652550394844</c:v>
                </c:pt>
                <c:pt idx="10">
                  <c:v>51.060379591911641</c:v>
                </c:pt>
                <c:pt idx="11">
                  <c:v>36.471699708508311</c:v>
                </c:pt>
                <c:pt idx="12">
                  <c:v>29.63580741691548</c:v>
                </c:pt>
                <c:pt idx="13">
                  <c:v>25.667477379503001</c:v>
                </c:pt>
                <c:pt idx="14">
                  <c:v>0</c:v>
                </c:pt>
                <c:pt idx="15">
                  <c:v>0</c:v>
                </c:pt>
                <c:pt idx="16">
                  <c:v>0</c:v>
                </c:pt>
                <c:pt idx="17">
                  <c:v>8.4429102897687525</c:v>
                </c:pt>
                <c:pt idx="18">
                  <c:v>24.806967745986711</c:v>
                </c:pt>
                <c:pt idx="19">
                  <c:v>56.619425401909425</c:v>
                </c:pt>
                <c:pt idx="20">
                  <c:v>22.384922827257611</c:v>
                </c:pt>
                <c:pt idx="21">
                  <c:v>18.803335174896393</c:v>
                </c:pt>
                <c:pt idx="22">
                  <c:v>13.465068318743308</c:v>
                </c:pt>
                <c:pt idx="23">
                  <c:v>10.059784318569569</c:v>
                </c:pt>
                <c:pt idx="24">
                  <c:v>0</c:v>
                </c:pt>
              </c:numCache>
            </c:numRef>
          </c:val>
        </c:ser>
        <c:ser>
          <c:idx val="5"/>
          <c:order val="4"/>
          <c:tx>
            <c:strRef>
              <c:f>SUMMARY!$AE$57</c:f>
              <c:strCache>
                <c:ptCount val="1"/>
                <c:pt idx="0">
                  <c:v>PM10</c:v>
                </c:pt>
              </c:strCache>
            </c:strRef>
          </c:tx>
          <c:spPr>
            <a:solidFill>
              <a:schemeClr val="accent4">
                <a:lumMod val="60000"/>
                <a:lumOff val="40000"/>
              </a:schemeClr>
            </a:solidFill>
          </c:spPr>
          <c:cat>
            <c:multiLvlStrRef>
              <c:f>SUMMARY!$Y$58:$Z$82</c:f>
              <c:multiLvlStrCache>
                <c:ptCount val="25"/>
                <c:lvl>
                  <c:pt idx="0">
                    <c:v>CV</c:v>
                  </c:pt>
                  <c:pt idx="1">
                    <c:v>HEV</c:v>
                  </c:pt>
                  <c:pt idx="2">
                    <c:v>PHEV20</c:v>
                  </c:pt>
                  <c:pt idx="3">
                    <c:v>PHEV60</c:v>
                  </c:pt>
                  <c:pt idx="4">
                    <c:v>BEV240</c:v>
                  </c:pt>
                  <c:pt idx="5">
                    <c:v>CV</c:v>
                  </c:pt>
                  <c:pt idx="6">
                    <c:v>HEV</c:v>
                  </c:pt>
                  <c:pt idx="7">
                    <c:v>PHEV20</c:v>
                  </c:pt>
                  <c:pt idx="8">
                    <c:v>PHEV60</c:v>
                  </c:pt>
                  <c:pt idx="9">
                    <c:v>BEV240</c:v>
                  </c:pt>
                  <c:pt idx="10">
                    <c:v>CV</c:v>
                  </c:pt>
                  <c:pt idx="11">
                    <c:v>HEV</c:v>
                  </c:pt>
                  <c:pt idx="12">
                    <c:v>PHEV20</c:v>
                  </c:pt>
                  <c:pt idx="13">
                    <c:v>PHEV60</c:v>
                  </c:pt>
                  <c:pt idx="14">
                    <c:v>BEV240</c:v>
                  </c:pt>
                  <c:pt idx="15">
                    <c:v>CV</c:v>
                  </c:pt>
                  <c:pt idx="16">
                    <c:v>HEV</c:v>
                  </c:pt>
                  <c:pt idx="17">
                    <c:v>PHEV20</c:v>
                  </c:pt>
                  <c:pt idx="18">
                    <c:v>PHEV60</c:v>
                  </c:pt>
                  <c:pt idx="19">
                    <c:v>BEV240</c:v>
                  </c:pt>
                  <c:pt idx="20">
                    <c:v>CV</c:v>
                  </c:pt>
                  <c:pt idx="21">
                    <c:v>HEV</c:v>
                  </c:pt>
                  <c:pt idx="22">
                    <c:v>PHEV20</c:v>
                  </c:pt>
                  <c:pt idx="23">
                    <c:v>PHEV60</c:v>
                  </c:pt>
                  <c:pt idx="24">
                    <c:v>BEV240</c:v>
                  </c:pt>
                </c:lvl>
                <c:lvl>
                  <c:pt idx="0">
                    <c:v>Vehicle Production</c:v>
                  </c:pt>
                  <c:pt idx="5">
                    <c:v>Battery Production</c:v>
                  </c:pt>
                  <c:pt idx="10">
                    <c:v>Gasoline Production</c:v>
                  </c:pt>
                  <c:pt idx="15">
                    <c:v>Electricity Production</c:v>
                  </c:pt>
                  <c:pt idx="20">
                    <c:v>Vehicle Operation</c:v>
                  </c:pt>
                </c:lvl>
              </c:multiLvlStrCache>
            </c:multiLvlStrRef>
          </c:cat>
          <c:val>
            <c:numRef>
              <c:f>SUMMARY!$AE$58:$AE$82</c:f>
              <c:numCache>
                <c:formatCode>"$"#,##0</c:formatCode>
                <c:ptCount val="25"/>
                <c:pt idx="0">
                  <c:v>59.782245499168752</c:v>
                </c:pt>
                <c:pt idx="1">
                  <c:v>52.039081304267995</c:v>
                </c:pt>
                <c:pt idx="2">
                  <c:v>52.730606046682063</c:v>
                </c:pt>
                <c:pt idx="3">
                  <c:v>52.730606046682063</c:v>
                </c:pt>
                <c:pt idx="4">
                  <c:v>52.730606046682063</c:v>
                </c:pt>
                <c:pt idx="5">
                  <c:v>1.9833282269478389</c:v>
                </c:pt>
                <c:pt idx="6">
                  <c:v>4.4589206236553611</c:v>
                </c:pt>
                <c:pt idx="7">
                  <c:v>7.0690208159365415</c:v>
                </c:pt>
                <c:pt idx="8">
                  <c:v>24.245083619900957</c:v>
                </c:pt>
                <c:pt idx="9">
                  <c:v>100.55803923117122</c:v>
                </c:pt>
                <c:pt idx="10">
                  <c:v>15.932568602890987</c:v>
                </c:pt>
                <c:pt idx="11">
                  <c:v>11.380406144922134</c:v>
                </c:pt>
                <c:pt idx="12">
                  <c:v>9.2473761171737845</c:v>
                </c:pt>
                <c:pt idx="13">
                  <c:v>8.0091226794730854</c:v>
                </c:pt>
                <c:pt idx="14">
                  <c:v>0</c:v>
                </c:pt>
                <c:pt idx="15">
                  <c:v>0</c:v>
                </c:pt>
                <c:pt idx="16">
                  <c:v>0</c:v>
                </c:pt>
                <c:pt idx="17">
                  <c:v>3.5935974791211405</c:v>
                </c:pt>
                <c:pt idx="18">
                  <c:v>10.558711830048237</c:v>
                </c:pt>
                <c:pt idx="19">
                  <c:v>24.099204825160125</c:v>
                </c:pt>
                <c:pt idx="20">
                  <c:v>31.36204100209612</c:v>
                </c:pt>
                <c:pt idx="21">
                  <c:v>31.36204100209612</c:v>
                </c:pt>
                <c:pt idx="22">
                  <c:v>28.840368419298553</c:v>
                </c:pt>
                <c:pt idx="23">
                  <c:v>27.231791791103284</c:v>
                </c:pt>
                <c:pt idx="24">
                  <c:v>22.479784634369594</c:v>
                </c:pt>
              </c:numCache>
            </c:numRef>
          </c:val>
        </c:ser>
        <c:ser>
          <c:idx val="6"/>
          <c:order val="5"/>
          <c:tx>
            <c:strRef>
              <c:f>SUMMARY!$AF$57</c:f>
              <c:strCache>
                <c:ptCount val="1"/>
                <c:pt idx="0">
                  <c:v>PM2.5</c:v>
                </c:pt>
              </c:strCache>
            </c:strRef>
          </c:tx>
          <c:spPr>
            <a:solidFill>
              <a:schemeClr val="accent4">
                <a:lumMod val="75000"/>
              </a:schemeClr>
            </a:solidFill>
          </c:spPr>
          <c:cat>
            <c:multiLvlStrRef>
              <c:f>SUMMARY!$Y$58:$Z$82</c:f>
              <c:multiLvlStrCache>
                <c:ptCount val="25"/>
                <c:lvl>
                  <c:pt idx="0">
                    <c:v>CV</c:v>
                  </c:pt>
                  <c:pt idx="1">
                    <c:v>HEV</c:v>
                  </c:pt>
                  <c:pt idx="2">
                    <c:v>PHEV20</c:v>
                  </c:pt>
                  <c:pt idx="3">
                    <c:v>PHEV60</c:v>
                  </c:pt>
                  <c:pt idx="4">
                    <c:v>BEV240</c:v>
                  </c:pt>
                  <c:pt idx="5">
                    <c:v>CV</c:v>
                  </c:pt>
                  <c:pt idx="6">
                    <c:v>HEV</c:v>
                  </c:pt>
                  <c:pt idx="7">
                    <c:v>PHEV20</c:v>
                  </c:pt>
                  <c:pt idx="8">
                    <c:v>PHEV60</c:v>
                  </c:pt>
                  <c:pt idx="9">
                    <c:v>BEV240</c:v>
                  </c:pt>
                  <c:pt idx="10">
                    <c:v>CV</c:v>
                  </c:pt>
                  <c:pt idx="11">
                    <c:v>HEV</c:v>
                  </c:pt>
                  <c:pt idx="12">
                    <c:v>PHEV20</c:v>
                  </c:pt>
                  <c:pt idx="13">
                    <c:v>PHEV60</c:v>
                  </c:pt>
                  <c:pt idx="14">
                    <c:v>BEV240</c:v>
                  </c:pt>
                  <c:pt idx="15">
                    <c:v>CV</c:v>
                  </c:pt>
                  <c:pt idx="16">
                    <c:v>HEV</c:v>
                  </c:pt>
                  <c:pt idx="17">
                    <c:v>PHEV20</c:v>
                  </c:pt>
                  <c:pt idx="18">
                    <c:v>PHEV60</c:v>
                  </c:pt>
                  <c:pt idx="19">
                    <c:v>BEV240</c:v>
                  </c:pt>
                  <c:pt idx="20">
                    <c:v>CV</c:v>
                  </c:pt>
                  <c:pt idx="21">
                    <c:v>HEV</c:v>
                  </c:pt>
                  <c:pt idx="22">
                    <c:v>PHEV20</c:v>
                  </c:pt>
                  <c:pt idx="23">
                    <c:v>PHEV60</c:v>
                  </c:pt>
                  <c:pt idx="24">
                    <c:v>BEV240</c:v>
                  </c:pt>
                </c:lvl>
                <c:lvl>
                  <c:pt idx="0">
                    <c:v>Vehicle Production</c:v>
                  </c:pt>
                  <c:pt idx="5">
                    <c:v>Battery Production</c:v>
                  </c:pt>
                  <c:pt idx="10">
                    <c:v>Gasoline Production</c:v>
                  </c:pt>
                  <c:pt idx="15">
                    <c:v>Electricity Production</c:v>
                  </c:pt>
                  <c:pt idx="20">
                    <c:v>Vehicle Operation</c:v>
                  </c:pt>
                </c:lvl>
              </c:multiLvlStrCache>
            </c:multiLvlStrRef>
          </c:cat>
          <c:val>
            <c:numRef>
              <c:f>SUMMARY!$AF$58:$AF$82</c:f>
              <c:numCache>
                <c:formatCode>"$"#,##0</c:formatCode>
                <c:ptCount val="25"/>
                <c:pt idx="0">
                  <c:v>161.5457188050606</c:v>
                </c:pt>
                <c:pt idx="1">
                  <c:v>141.69764167722886</c:v>
                </c:pt>
                <c:pt idx="2">
                  <c:v>143.56446134298878</c:v>
                </c:pt>
                <c:pt idx="3">
                  <c:v>143.56446134298878</c:v>
                </c:pt>
                <c:pt idx="4">
                  <c:v>143.56446134298878</c:v>
                </c:pt>
                <c:pt idx="5">
                  <c:v>3.8104855966174993</c:v>
                </c:pt>
                <c:pt idx="6">
                  <c:v>8.6284991307408578</c:v>
                </c:pt>
                <c:pt idx="7">
                  <c:v>14.941361759951404</c:v>
                </c:pt>
                <c:pt idx="8">
                  <c:v>51.245366889928867</c:v>
                </c:pt>
                <c:pt idx="9">
                  <c:v>212.54344571133632</c:v>
                </c:pt>
                <c:pt idx="10">
                  <c:v>56.101418859376331</c:v>
                </c:pt>
                <c:pt idx="11">
                  <c:v>40.072442042411666</c:v>
                </c:pt>
                <c:pt idx="12">
                  <c:v>32.561662455708763</c:v>
                </c:pt>
                <c:pt idx="13">
                  <c:v>28.201551007646042</c:v>
                </c:pt>
                <c:pt idx="14">
                  <c:v>0</c:v>
                </c:pt>
                <c:pt idx="15">
                  <c:v>0</c:v>
                </c:pt>
                <c:pt idx="16">
                  <c:v>0</c:v>
                </c:pt>
                <c:pt idx="17">
                  <c:v>10.088974341697343</c:v>
                </c:pt>
                <c:pt idx="18">
                  <c:v>29.643434845904128</c:v>
                </c:pt>
                <c:pt idx="19">
                  <c:v>67.658178343282728</c:v>
                </c:pt>
                <c:pt idx="20">
                  <c:v>105.72172869636664</c:v>
                </c:pt>
                <c:pt idx="21">
                  <c:v>105.72172869636664</c:v>
                </c:pt>
                <c:pt idx="22">
                  <c:v>90.511729316181587</c:v>
                </c:pt>
                <c:pt idx="23">
                  <c:v>80.809260532273498</c:v>
                </c:pt>
                <c:pt idx="24">
                  <c:v>52.146528343478138</c:v>
                </c:pt>
              </c:numCache>
            </c:numRef>
          </c:val>
        </c:ser>
        <c:ser>
          <c:idx val="7"/>
          <c:order val="6"/>
          <c:tx>
            <c:strRef>
              <c:f>SUMMARY!$AG$57</c:f>
              <c:strCache>
                <c:ptCount val="1"/>
                <c:pt idx="0">
                  <c:v>SO2</c:v>
                </c:pt>
              </c:strCache>
            </c:strRef>
          </c:tx>
          <c:spPr>
            <a:solidFill>
              <a:srgbClr val="CCCC00"/>
            </a:solidFill>
          </c:spPr>
          <c:cat>
            <c:multiLvlStrRef>
              <c:f>SUMMARY!$Y$58:$Z$82</c:f>
              <c:multiLvlStrCache>
                <c:ptCount val="25"/>
                <c:lvl>
                  <c:pt idx="0">
                    <c:v>CV</c:v>
                  </c:pt>
                  <c:pt idx="1">
                    <c:v>HEV</c:v>
                  </c:pt>
                  <c:pt idx="2">
                    <c:v>PHEV20</c:v>
                  </c:pt>
                  <c:pt idx="3">
                    <c:v>PHEV60</c:v>
                  </c:pt>
                  <c:pt idx="4">
                    <c:v>BEV240</c:v>
                  </c:pt>
                  <c:pt idx="5">
                    <c:v>CV</c:v>
                  </c:pt>
                  <c:pt idx="6">
                    <c:v>HEV</c:v>
                  </c:pt>
                  <c:pt idx="7">
                    <c:v>PHEV20</c:v>
                  </c:pt>
                  <c:pt idx="8">
                    <c:v>PHEV60</c:v>
                  </c:pt>
                  <c:pt idx="9">
                    <c:v>BEV240</c:v>
                  </c:pt>
                  <c:pt idx="10">
                    <c:v>CV</c:v>
                  </c:pt>
                  <c:pt idx="11">
                    <c:v>HEV</c:v>
                  </c:pt>
                  <c:pt idx="12">
                    <c:v>PHEV20</c:v>
                  </c:pt>
                  <c:pt idx="13">
                    <c:v>PHEV60</c:v>
                  </c:pt>
                  <c:pt idx="14">
                    <c:v>BEV240</c:v>
                  </c:pt>
                  <c:pt idx="15">
                    <c:v>CV</c:v>
                  </c:pt>
                  <c:pt idx="16">
                    <c:v>HEV</c:v>
                  </c:pt>
                  <c:pt idx="17">
                    <c:v>PHEV20</c:v>
                  </c:pt>
                  <c:pt idx="18">
                    <c:v>PHEV60</c:v>
                  </c:pt>
                  <c:pt idx="19">
                    <c:v>BEV240</c:v>
                  </c:pt>
                  <c:pt idx="20">
                    <c:v>CV</c:v>
                  </c:pt>
                  <c:pt idx="21">
                    <c:v>HEV</c:v>
                  </c:pt>
                  <c:pt idx="22">
                    <c:v>PHEV20</c:v>
                  </c:pt>
                  <c:pt idx="23">
                    <c:v>PHEV60</c:v>
                  </c:pt>
                  <c:pt idx="24">
                    <c:v>BEV240</c:v>
                  </c:pt>
                </c:lvl>
                <c:lvl>
                  <c:pt idx="0">
                    <c:v>Vehicle Production</c:v>
                  </c:pt>
                  <c:pt idx="5">
                    <c:v>Battery Production</c:v>
                  </c:pt>
                  <c:pt idx="10">
                    <c:v>Gasoline Production</c:v>
                  </c:pt>
                  <c:pt idx="15">
                    <c:v>Electricity Production</c:v>
                  </c:pt>
                  <c:pt idx="20">
                    <c:v>Vehicle Operation</c:v>
                  </c:pt>
                </c:lvl>
              </c:multiLvlStrCache>
            </c:multiLvlStrRef>
          </c:cat>
          <c:val>
            <c:numRef>
              <c:f>SUMMARY!$AG$58:$AG$82</c:f>
              <c:numCache>
                <c:formatCode>"$"#,##0</c:formatCode>
                <c:ptCount val="25"/>
                <c:pt idx="0">
                  <c:v>264.34696665071482</c:v>
                </c:pt>
                <c:pt idx="1">
                  <c:v>311.29636934089109</c:v>
                </c:pt>
                <c:pt idx="2">
                  <c:v>315.30861466271887</c:v>
                </c:pt>
                <c:pt idx="3">
                  <c:v>315.30861466271887</c:v>
                </c:pt>
                <c:pt idx="4">
                  <c:v>315.30861466271887</c:v>
                </c:pt>
                <c:pt idx="5">
                  <c:v>11.859137997166494</c:v>
                </c:pt>
                <c:pt idx="6">
                  <c:v>77.031819172808028</c:v>
                </c:pt>
                <c:pt idx="7">
                  <c:v>71.118932010652401</c:v>
                </c:pt>
                <c:pt idx="8">
                  <c:v>243.92125846751753</c:v>
                </c:pt>
                <c:pt idx="9">
                  <c:v>1011.6790629734064</c:v>
                </c:pt>
                <c:pt idx="10">
                  <c:v>136.67809946474708</c:v>
                </c:pt>
                <c:pt idx="11">
                  <c:v>97.627213903390768</c:v>
                </c:pt>
                <c:pt idx="12">
                  <c:v>79.328940877848552</c:v>
                </c:pt>
                <c:pt idx="13">
                  <c:v>68.706540263178539</c:v>
                </c:pt>
                <c:pt idx="14">
                  <c:v>0</c:v>
                </c:pt>
                <c:pt idx="15">
                  <c:v>0</c:v>
                </c:pt>
                <c:pt idx="16">
                  <c:v>0</c:v>
                </c:pt>
                <c:pt idx="17">
                  <c:v>91.233668227584616</c:v>
                </c:pt>
                <c:pt idx="18">
                  <c:v>268.06285835020202</c:v>
                </c:pt>
                <c:pt idx="19">
                  <c:v>611.8266918711704</c:v>
                </c:pt>
                <c:pt idx="20">
                  <c:v>0</c:v>
                </c:pt>
                <c:pt idx="21">
                  <c:v>0</c:v>
                </c:pt>
                <c:pt idx="22">
                  <c:v>0</c:v>
                </c:pt>
                <c:pt idx="23">
                  <c:v>0</c:v>
                </c:pt>
                <c:pt idx="24">
                  <c:v>0</c:v>
                </c:pt>
              </c:numCache>
            </c:numRef>
          </c:val>
        </c:ser>
        <c:ser>
          <c:idx val="8"/>
          <c:order val="7"/>
          <c:tx>
            <c:strRef>
              <c:f>SUMMARY!$AH$57</c:f>
              <c:strCache>
                <c:ptCount val="1"/>
                <c:pt idx="0">
                  <c:v>VOC</c:v>
                </c:pt>
              </c:strCache>
            </c:strRef>
          </c:tx>
          <c:spPr>
            <a:solidFill>
              <a:schemeClr val="accent5">
                <a:lumMod val="40000"/>
                <a:lumOff val="60000"/>
              </a:schemeClr>
            </a:solidFill>
          </c:spPr>
          <c:cat>
            <c:multiLvlStrRef>
              <c:f>SUMMARY!$Y$58:$Z$82</c:f>
              <c:multiLvlStrCache>
                <c:ptCount val="25"/>
                <c:lvl>
                  <c:pt idx="0">
                    <c:v>CV</c:v>
                  </c:pt>
                  <c:pt idx="1">
                    <c:v>HEV</c:v>
                  </c:pt>
                  <c:pt idx="2">
                    <c:v>PHEV20</c:v>
                  </c:pt>
                  <c:pt idx="3">
                    <c:v>PHEV60</c:v>
                  </c:pt>
                  <c:pt idx="4">
                    <c:v>BEV240</c:v>
                  </c:pt>
                  <c:pt idx="5">
                    <c:v>CV</c:v>
                  </c:pt>
                  <c:pt idx="6">
                    <c:v>HEV</c:v>
                  </c:pt>
                  <c:pt idx="7">
                    <c:v>PHEV20</c:v>
                  </c:pt>
                  <c:pt idx="8">
                    <c:v>PHEV60</c:v>
                  </c:pt>
                  <c:pt idx="9">
                    <c:v>BEV240</c:v>
                  </c:pt>
                  <c:pt idx="10">
                    <c:v>CV</c:v>
                  </c:pt>
                  <c:pt idx="11">
                    <c:v>HEV</c:v>
                  </c:pt>
                  <c:pt idx="12">
                    <c:v>PHEV20</c:v>
                  </c:pt>
                  <c:pt idx="13">
                    <c:v>PHEV60</c:v>
                  </c:pt>
                  <c:pt idx="14">
                    <c:v>BEV240</c:v>
                  </c:pt>
                  <c:pt idx="15">
                    <c:v>CV</c:v>
                  </c:pt>
                  <c:pt idx="16">
                    <c:v>HEV</c:v>
                  </c:pt>
                  <c:pt idx="17">
                    <c:v>PHEV20</c:v>
                  </c:pt>
                  <c:pt idx="18">
                    <c:v>PHEV60</c:v>
                  </c:pt>
                  <c:pt idx="19">
                    <c:v>BEV240</c:v>
                  </c:pt>
                  <c:pt idx="20">
                    <c:v>CV</c:v>
                  </c:pt>
                  <c:pt idx="21">
                    <c:v>HEV</c:v>
                  </c:pt>
                  <c:pt idx="22">
                    <c:v>PHEV20</c:v>
                  </c:pt>
                  <c:pt idx="23">
                    <c:v>PHEV60</c:v>
                  </c:pt>
                  <c:pt idx="24">
                    <c:v>BEV240</c:v>
                  </c:pt>
                </c:lvl>
                <c:lvl>
                  <c:pt idx="0">
                    <c:v>Vehicle Production</c:v>
                  </c:pt>
                  <c:pt idx="5">
                    <c:v>Battery Production</c:v>
                  </c:pt>
                  <c:pt idx="10">
                    <c:v>Gasoline Production</c:v>
                  </c:pt>
                  <c:pt idx="15">
                    <c:v>Electricity Production</c:v>
                  </c:pt>
                  <c:pt idx="20">
                    <c:v>Vehicle Operation</c:v>
                  </c:pt>
                </c:lvl>
              </c:multiLvlStrCache>
            </c:multiLvlStrRef>
          </c:cat>
          <c:val>
            <c:numRef>
              <c:f>SUMMARY!$AH$58:$AH$82</c:f>
              <c:numCache>
                <c:formatCode>"$"#,##0</c:formatCode>
                <c:ptCount val="25"/>
                <c:pt idx="0">
                  <c:v>79.169030366360815</c:v>
                </c:pt>
                <c:pt idx="1">
                  <c:v>78.656432251342636</c:v>
                </c:pt>
                <c:pt idx="2">
                  <c:v>78.685222901623064</c:v>
                </c:pt>
                <c:pt idx="3">
                  <c:v>78.685222901623064</c:v>
                </c:pt>
                <c:pt idx="4">
                  <c:v>78.685222901623064</c:v>
                </c:pt>
                <c:pt idx="5">
                  <c:v>6.637951150916388E-2</c:v>
                </c:pt>
                <c:pt idx="6">
                  <c:v>0.16350610791194747</c:v>
                </c:pt>
                <c:pt idx="7">
                  <c:v>0.23647462051913681</c:v>
                </c:pt>
                <c:pt idx="8">
                  <c:v>0.81105249195835527</c:v>
                </c:pt>
                <c:pt idx="9">
                  <c:v>3.3638922258838004</c:v>
                </c:pt>
                <c:pt idx="10">
                  <c:v>45.330113911093818</c:v>
                </c:pt>
                <c:pt idx="11">
                  <c:v>32.378652793638437</c:v>
                </c:pt>
                <c:pt idx="12">
                  <c:v>26.309920466568993</c:v>
                </c:pt>
                <c:pt idx="13">
                  <c:v>22.786937400825824</c:v>
                </c:pt>
                <c:pt idx="14">
                  <c:v>0</c:v>
                </c:pt>
                <c:pt idx="15">
                  <c:v>0</c:v>
                </c:pt>
                <c:pt idx="16">
                  <c:v>0</c:v>
                </c:pt>
                <c:pt idx="17">
                  <c:v>6.3631748174748703E-2</c:v>
                </c:pt>
                <c:pt idx="18">
                  <c:v>0.18696286830201236</c:v>
                </c:pt>
                <c:pt idx="19">
                  <c:v>0.42672406733246832</c:v>
                </c:pt>
                <c:pt idx="20">
                  <c:v>102.4797200743992</c:v>
                </c:pt>
                <c:pt idx="21">
                  <c:v>72.288655173533442</c:v>
                </c:pt>
                <c:pt idx="22">
                  <c:v>51.765905969767296</c:v>
                </c:pt>
                <c:pt idx="23">
                  <c:v>38.674430517840392</c:v>
                </c:pt>
                <c:pt idx="24">
                  <c:v>0</c:v>
                </c:pt>
              </c:numCache>
            </c:numRef>
          </c:val>
        </c:ser>
        <c:ser>
          <c:idx val="0"/>
          <c:order val="8"/>
          <c:tx>
            <c:strRef>
              <c:f>SUMMARY!$AI$57</c:f>
              <c:strCache>
                <c:ptCount val="1"/>
                <c:pt idx="0">
                  <c:v>Disruption</c:v>
                </c:pt>
              </c:strCache>
            </c:strRef>
          </c:tx>
          <c:spPr>
            <a:solidFill>
              <a:prstClr val="black">
                <a:lumMod val="75000"/>
                <a:lumOff val="25000"/>
              </a:prstClr>
            </a:solidFill>
          </c:spPr>
          <c:cat>
            <c:multiLvlStrRef>
              <c:f>SUMMARY!$Y$58:$Z$82</c:f>
              <c:multiLvlStrCache>
                <c:ptCount val="25"/>
                <c:lvl>
                  <c:pt idx="0">
                    <c:v>CV</c:v>
                  </c:pt>
                  <c:pt idx="1">
                    <c:v>HEV</c:v>
                  </c:pt>
                  <c:pt idx="2">
                    <c:v>PHEV20</c:v>
                  </c:pt>
                  <c:pt idx="3">
                    <c:v>PHEV60</c:v>
                  </c:pt>
                  <c:pt idx="4">
                    <c:v>BEV240</c:v>
                  </c:pt>
                  <c:pt idx="5">
                    <c:v>CV</c:v>
                  </c:pt>
                  <c:pt idx="6">
                    <c:v>HEV</c:v>
                  </c:pt>
                  <c:pt idx="7">
                    <c:v>PHEV20</c:v>
                  </c:pt>
                  <c:pt idx="8">
                    <c:v>PHEV60</c:v>
                  </c:pt>
                  <c:pt idx="9">
                    <c:v>BEV240</c:v>
                  </c:pt>
                  <c:pt idx="10">
                    <c:v>CV</c:v>
                  </c:pt>
                  <c:pt idx="11">
                    <c:v>HEV</c:v>
                  </c:pt>
                  <c:pt idx="12">
                    <c:v>PHEV20</c:v>
                  </c:pt>
                  <c:pt idx="13">
                    <c:v>PHEV60</c:v>
                  </c:pt>
                  <c:pt idx="14">
                    <c:v>BEV240</c:v>
                  </c:pt>
                  <c:pt idx="15">
                    <c:v>CV</c:v>
                  </c:pt>
                  <c:pt idx="16">
                    <c:v>HEV</c:v>
                  </c:pt>
                  <c:pt idx="17">
                    <c:v>PHEV20</c:v>
                  </c:pt>
                  <c:pt idx="18">
                    <c:v>PHEV60</c:v>
                  </c:pt>
                  <c:pt idx="19">
                    <c:v>BEV240</c:v>
                  </c:pt>
                  <c:pt idx="20">
                    <c:v>CV</c:v>
                  </c:pt>
                  <c:pt idx="21">
                    <c:v>HEV</c:v>
                  </c:pt>
                  <c:pt idx="22">
                    <c:v>PHEV20</c:v>
                  </c:pt>
                  <c:pt idx="23">
                    <c:v>PHEV60</c:v>
                  </c:pt>
                  <c:pt idx="24">
                    <c:v>BEV240</c:v>
                  </c:pt>
                </c:lvl>
                <c:lvl>
                  <c:pt idx="0">
                    <c:v>Vehicle Production</c:v>
                  </c:pt>
                  <c:pt idx="5">
                    <c:v>Battery Production</c:v>
                  </c:pt>
                  <c:pt idx="10">
                    <c:v>Gasoline Production</c:v>
                  </c:pt>
                  <c:pt idx="15">
                    <c:v>Electricity Production</c:v>
                  </c:pt>
                  <c:pt idx="20">
                    <c:v>Vehicle Operation</c:v>
                  </c:pt>
                </c:lvl>
              </c:multiLvlStrCache>
            </c:multiLvlStrRef>
          </c:cat>
          <c:val>
            <c:numRef>
              <c:f>SUMMARY!$AI$58:$AI$82</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335.04288137349306</c:v>
                </c:pt>
                <c:pt idx="21">
                  <c:v>239.31634383820932</c:v>
                </c:pt>
                <c:pt idx="22">
                  <c:v>194.46127091397832</c:v>
                </c:pt>
                <c:pt idx="23">
                  <c:v>168.42228059307067</c:v>
                </c:pt>
                <c:pt idx="24">
                  <c:v>0</c:v>
                </c:pt>
              </c:numCache>
            </c:numRef>
          </c:val>
        </c:ser>
        <c:ser>
          <c:idx val="9"/>
          <c:order val="9"/>
          <c:tx>
            <c:strRef>
              <c:f>SUMMARY!$AJ$57</c:f>
              <c:strCache>
                <c:ptCount val="1"/>
                <c:pt idx="0">
                  <c:v>Monopsony</c:v>
                </c:pt>
              </c:strCache>
            </c:strRef>
          </c:tx>
          <c:spPr>
            <a:solidFill>
              <a:schemeClr val="tx1">
                <a:lumMod val="50000"/>
                <a:lumOff val="50000"/>
              </a:schemeClr>
            </a:solidFill>
          </c:spPr>
          <c:cat>
            <c:multiLvlStrRef>
              <c:f>SUMMARY!$Y$58:$Z$82</c:f>
              <c:multiLvlStrCache>
                <c:ptCount val="25"/>
                <c:lvl>
                  <c:pt idx="0">
                    <c:v>CV</c:v>
                  </c:pt>
                  <c:pt idx="1">
                    <c:v>HEV</c:v>
                  </c:pt>
                  <c:pt idx="2">
                    <c:v>PHEV20</c:v>
                  </c:pt>
                  <c:pt idx="3">
                    <c:v>PHEV60</c:v>
                  </c:pt>
                  <c:pt idx="4">
                    <c:v>BEV240</c:v>
                  </c:pt>
                  <c:pt idx="5">
                    <c:v>CV</c:v>
                  </c:pt>
                  <c:pt idx="6">
                    <c:v>HEV</c:v>
                  </c:pt>
                  <c:pt idx="7">
                    <c:v>PHEV20</c:v>
                  </c:pt>
                  <c:pt idx="8">
                    <c:v>PHEV60</c:v>
                  </c:pt>
                  <c:pt idx="9">
                    <c:v>BEV240</c:v>
                  </c:pt>
                  <c:pt idx="10">
                    <c:v>CV</c:v>
                  </c:pt>
                  <c:pt idx="11">
                    <c:v>HEV</c:v>
                  </c:pt>
                  <c:pt idx="12">
                    <c:v>PHEV20</c:v>
                  </c:pt>
                  <c:pt idx="13">
                    <c:v>PHEV60</c:v>
                  </c:pt>
                  <c:pt idx="14">
                    <c:v>BEV240</c:v>
                  </c:pt>
                  <c:pt idx="15">
                    <c:v>CV</c:v>
                  </c:pt>
                  <c:pt idx="16">
                    <c:v>HEV</c:v>
                  </c:pt>
                  <c:pt idx="17">
                    <c:v>PHEV20</c:v>
                  </c:pt>
                  <c:pt idx="18">
                    <c:v>PHEV60</c:v>
                  </c:pt>
                  <c:pt idx="19">
                    <c:v>BEV240</c:v>
                  </c:pt>
                  <c:pt idx="20">
                    <c:v>CV</c:v>
                  </c:pt>
                  <c:pt idx="21">
                    <c:v>HEV</c:v>
                  </c:pt>
                  <c:pt idx="22">
                    <c:v>PHEV20</c:v>
                  </c:pt>
                  <c:pt idx="23">
                    <c:v>PHEV60</c:v>
                  </c:pt>
                  <c:pt idx="24">
                    <c:v>BEV240</c:v>
                  </c:pt>
                </c:lvl>
                <c:lvl>
                  <c:pt idx="0">
                    <c:v>Vehicle Production</c:v>
                  </c:pt>
                  <c:pt idx="5">
                    <c:v>Battery Production</c:v>
                  </c:pt>
                  <c:pt idx="10">
                    <c:v>Gasoline Production</c:v>
                  </c:pt>
                  <c:pt idx="15">
                    <c:v>Electricity Production</c:v>
                  </c:pt>
                  <c:pt idx="20">
                    <c:v>Vehicle Operation</c:v>
                  </c:pt>
                </c:lvl>
              </c:multiLvlStrCache>
            </c:multiLvlStrRef>
          </c:cat>
          <c:val>
            <c:numRef>
              <c:f>SUMMARY!$AJ$58:$AJ$82</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829.22473140215186</c:v>
                </c:pt>
                <c:pt idx="21">
                  <c:v>592.3033795729657</c:v>
                </c:pt>
                <c:pt idx="22">
                  <c:v>481.28793090818442</c:v>
                </c:pt>
                <c:pt idx="23">
                  <c:v>416.84192726136246</c:v>
                </c:pt>
                <c:pt idx="24">
                  <c:v>0</c:v>
                </c:pt>
              </c:numCache>
            </c:numRef>
          </c:val>
        </c:ser>
        <c:ser>
          <c:idx val="10"/>
          <c:order val="10"/>
          <c:tx>
            <c:strRef>
              <c:f>SUMMARY!$AK$57</c:f>
              <c:strCache>
                <c:ptCount val="1"/>
                <c:pt idx="0">
                  <c:v>Military</c:v>
                </c:pt>
              </c:strCache>
            </c:strRef>
          </c:tx>
          <c:spPr>
            <a:solidFill>
              <a:schemeClr val="bg1">
                <a:lumMod val="75000"/>
              </a:schemeClr>
            </a:solidFill>
          </c:spPr>
          <c:cat>
            <c:multiLvlStrRef>
              <c:f>SUMMARY!$Y$58:$Z$82</c:f>
              <c:multiLvlStrCache>
                <c:ptCount val="25"/>
                <c:lvl>
                  <c:pt idx="0">
                    <c:v>CV</c:v>
                  </c:pt>
                  <c:pt idx="1">
                    <c:v>HEV</c:v>
                  </c:pt>
                  <c:pt idx="2">
                    <c:v>PHEV20</c:v>
                  </c:pt>
                  <c:pt idx="3">
                    <c:v>PHEV60</c:v>
                  </c:pt>
                  <c:pt idx="4">
                    <c:v>BEV240</c:v>
                  </c:pt>
                  <c:pt idx="5">
                    <c:v>CV</c:v>
                  </c:pt>
                  <c:pt idx="6">
                    <c:v>HEV</c:v>
                  </c:pt>
                  <c:pt idx="7">
                    <c:v>PHEV20</c:v>
                  </c:pt>
                  <c:pt idx="8">
                    <c:v>PHEV60</c:v>
                  </c:pt>
                  <c:pt idx="9">
                    <c:v>BEV240</c:v>
                  </c:pt>
                  <c:pt idx="10">
                    <c:v>CV</c:v>
                  </c:pt>
                  <c:pt idx="11">
                    <c:v>HEV</c:v>
                  </c:pt>
                  <c:pt idx="12">
                    <c:v>PHEV20</c:v>
                  </c:pt>
                  <c:pt idx="13">
                    <c:v>PHEV60</c:v>
                  </c:pt>
                  <c:pt idx="14">
                    <c:v>BEV240</c:v>
                  </c:pt>
                  <c:pt idx="15">
                    <c:v>CV</c:v>
                  </c:pt>
                  <c:pt idx="16">
                    <c:v>HEV</c:v>
                  </c:pt>
                  <c:pt idx="17">
                    <c:v>PHEV20</c:v>
                  </c:pt>
                  <c:pt idx="18">
                    <c:v>PHEV60</c:v>
                  </c:pt>
                  <c:pt idx="19">
                    <c:v>BEV240</c:v>
                  </c:pt>
                  <c:pt idx="20">
                    <c:v>CV</c:v>
                  </c:pt>
                  <c:pt idx="21">
                    <c:v>HEV</c:v>
                  </c:pt>
                  <c:pt idx="22">
                    <c:v>PHEV20</c:v>
                  </c:pt>
                  <c:pt idx="23">
                    <c:v>PHEV60</c:v>
                  </c:pt>
                  <c:pt idx="24">
                    <c:v>BEV240</c:v>
                  </c:pt>
                </c:lvl>
                <c:lvl>
                  <c:pt idx="0">
                    <c:v>Vehicle Production</c:v>
                  </c:pt>
                  <c:pt idx="5">
                    <c:v>Battery Production</c:v>
                  </c:pt>
                  <c:pt idx="10">
                    <c:v>Gasoline Production</c:v>
                  </c:pt>
                  <c:pt idx="15">
                    <c:v>Electricity Production</c:v>
                  </c:pt>
                  <c:pt idx="20">
                    <c:v>Vehicle Operation</c:v>
                  </c:pt>
                </c:lvl>
              </c:multiLvlStrCache>
            </c:multiLvlStrRef>
          </c:cat>
          <c:val>
            <c:numRef>
              <c:f>SUMMARY!$AK$58:$AK$82</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119.9726900992793</c:v>
                </c:pt>
                <c:pt idx="21">
                  <c:v>85.694778642342385</c:v>
                </c:pt>
                <c:pt idx="22">
                  <c:v>69.633002486231831</c:v>
                </c:pt>
                <c:pt idx="23">
                  <c:v>60.308919242135367</c:v>
                </c:pt>
                <c:pt idx="24">
                  <c:v>0</c:v>
                </c:pt>
              </c:numCache>
            </c:numRef>
          </c:val>
        </c:ser>
        <c:gapWidth val="55"/>
        <c:overlap val="100"/>
        <c:axId val="102783616"/>
        <c:axId val="102793600"/>
      </c:barChart>
      <c:catAx>
        <c:axId val="102783616"/>
        <c:scaling>
          <c:orientation val="minMax"/>
        </c:scaling>
        <c:axPos val="b"/>
        <c:majorTickMark val="none"/>
        <c:tickLblPos val="nextTo"/>
        <c:crossAx val="102793600"/>
        <c:crosses val="autoZero"/>
        <c:auto val="1"/>
        <c:lblAlgn val="ctr"/>
        <c:lblOffset val="100"/>
      </c:catAx>
      <c:valAx>
        <c:axId val="102793600"/>
        <c:scaling>
          <c:orientation val="minMax"/>
        </c:scaling>
        <c:axPos val="l"/>
        <c:majorGridlines/>
        <c:numFmt formatCode="&quot;$&quot;#,##0" sourceLinked="1"/>
        <c:majorTickMark val="none"/>
        <c:tickLblPos val="nextTo"/>
        <c:crossAx val="102783616"/>
        <c:crosses val="autoZero"/>
        <c:crossBetween val="between"/>
        <c:majorUnit val="1000"/>
      </c:valAx>
    </c:plotArea>
    <c:legend>
      <c:legendPos val="r"/>
      <c:legendEntry>
        <c:idx val="8"/>
        <c:delete val="1"/>
      </c:legendEntry>
      <c:layout>
        <c:manualLayout>
          <c:xMode val="edge"/>
          <c:yMode val="edge"/>
          <c:x val="0.83562885773782525"/>
          <c:y val="0.12741453492993879"/>
          <c:w val="0.15100079471620848"/>
          <c:h val="0.61778461819244568"/>
        </c:manualLayout>
      </c:layout>
    </c:legend>
    <c:plotVisOnly val="1"/>
    <c:dispBlanksAs val="gap"/>
  </c:chart>
  <c:spPr>
    <a:ln>
      <a:noFill/>
    </a:ln>
  </c:spPr>
  <c:printSettings>
    <c:headerFooter/>
    <c:pageMargins b="0.75000000000001055" l="0.70000000000000062" r="0.70000000000000062" t="0.750000000000010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a:pPr>
            <a:r>
              <a:rPr lang="en-US" sz="1200"/>
              <a:t>Lifetime Emissions Damages w/ Sensitivity Analysis</a:t>
            </a:r>
          </a:p>
        </c:rich>
      </c:tx>
      <c:layout>
        <c:manualLayout>
          <c:xMode val="edge"/>
          <c:yMode val="edge"/>
          <c:x val="9.0148700220937739E-2"/>
          <c:y val="7.6103079185001424E-3"/>
        </c:manualLayout>
      </c:layout>
    </c:title>
    <c:plotArea>
      <c:layout>
        <c:manualLayout>
          <c:layoutTarget val="inner"/>
          <c:xMode val="edge"/>
          <c:yMode val="edge"/>
          <c:x val="0.11320892897273979"/>
          <c:y val="0.13141967611942282"/>
          <c:w val="0.65824299930861263"/>
          <c:h val="0.52200787186840825"/>
        </c:manualLayout>
      </c:layout>
      <c:barChart>
        <c:barDir val="col"/>
        <c:grouping val="stacked"/>
        <c:ser>
          <c:idx val="0"/>
          <c:order val="0"/>
          <c:tx>
            <c:strRef>
              <c:f>SUMMARY!$BA$187</c:f>
              <c:strCache>
                <c:ptCount val="1"/>
                <c:pt idx="0">
                  <c:v>Base Case</c:v>
                </c:pt>
              </c:strCache>
            </c:strRef>
          </c:tx>
          <c:spPr>
            <a:solidFill>
              <a:schemeClr val="tx1">
                <a:lumMod val="75000"/>
                <a:lumOff val="25000"/>
                <a:alpha val="25000"/>
              </a:schemeClr>
            </a:solidFill>
            <a:ln>
              <a:noFill/>
            </a:ln>
          </c:spPr>
          <c:errBars>
            <c:errBarType val="both"/>
            <c:errValType val="cust"/>
            <c:plus>
              <c:numRef>
                <c:f>SUMMARY!$BP$188:$BP$210</c:f>
                <c:numCache>
                  <c:formatCode>General</c:formatCode>
                  <c:ptCount val="23"/>
                  <c:pt idx="6">
                    <c:v>0</c:v>
                  </c:pt>
                  <c:pt idx="7">
                    <c:v>0</c:v>
                  </c:pt>
                  <c:pt idx="8">
                    <c:v>454.50917867969429</c:v>
                  </c:pt>
                  <c:pt idx="9">
                    <c:v>1335.4393389001552</c:v>
                  </c:pt>
                  <c:pt idx="10">
                    <c:v>3048.0068665330964</c:v>
                  </c:pt>
                  <c:pt idx="12">
                    <c:v>1896.0850000554365</c:v>
                  </c:pt>
                  <c:pt idx="13">
                    <c:v>1771.7685498262358</c:v>
                  </c:pt>
                  <c:pt idx="14">
                    <c:v>1346.8543625056686</c:v>
                  </c:pt>
                  <c:pt idx="15">
                    <c:v>1075.8013180401722</c:v>
                  </c:pt>
                  <c:pt idx="16">
                    <c:v>275.06482555512957</c:v>
                  </c:pt>
                  <c:pt idx="18">
                    <c:v>0</c:v>
                  </c:pt>
                  <c:pt idx="19">
                    <c:v>0</c:v>
                  </c:pt>
                  <c:pt idx="20">
                    <c:v>0</c:v>
                  </c:pt>
                  <c:pt idx="21">
                    <c:v>0</c:v>
                  </c:pt>
                  <c:pt idx="22">
                    <c:v>0</c:v>
                  </c:pt>
                </c:numCache>
              </c:numRef>
            </c:plus>
            <c:minus>
              <c:numRef>
                <c:f>SUMMARY!$BO$188:$BO$210</c:f>
                <c:numCache>
                  <c:formatCode>General</c:formatCode>
                  <c:ptCount val="23"/>
                  <c:pt idx="6">
                    <c:v>0</c:v>
                  </c:pt>
                  <c:pt idx="7">
                    <c:v>0</c:v>
                  </c:pt>
                  <c:pt idx="8">
                    <c:v>262.75061195019362</c:v>
                  </c:pt>
                  <c:pt idx="9">
                    <c:v>772.01411979769273</c:v>
                  </c:pt>
                  <c:pt idx="10">
                    <c:v>1762.0450960669236</c:v>
                  </c:pt>
                  <c:pt idx="12">
                    <c:v>497.74766738222752</c:v>
                  </c:pt>
                  <c:pt idx="13">
                    <c:v>468.63637648187114</c:v>
                  </c:pt>
                  <c:pt idx="14">
                    <c:v>354.73937625190001</c:v>
                  </c:pt>
                  <c:pt idx="15">
                    <c:v>282.0844035796631</c:v>
                  </c:pt>
                  <c:pt idx="16">
                    <c:v>67.449337982498946</c:v>
                  </c:pt>
                  <c:pt idx="18">
                    <c:v>0</c:v>
                  </c:pt>
                  <c:pt idx="19">
                    <c:v>0</c:v>
                  </c:pt>
                  <c:pt idx="20">
                    <c:v>-88.610807806617686</c:v>
                  </c:pt>
                  <c:pt idx="21">
                    <c:v>-303.91429037174385</c:v>
                  </c:pt>
                  <c:pt idx="22">
                    <c:v>-1230.7106025983403</c:v>
                  </c:pt>
                </c:numCache>
              </c:numRef>
            </c:minus>
            <c:spPr>
              <a:ln>
                <a:solidFill>
                  <a:sysClr val="windowText" lastClr="000000">
                    <a:alpha val="25000"/>
                  </a:sysClr>
                </a:solidFill>
              </a:ln>
            </c:spPr>
          </c:errBars>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SUMMARY!$BA$188:$BA$210</c:f>
              <c:numCache>
                <c:formatCode>"$"#,##0</c:formatCode>
                <c:ptCount val="23"/>
                <c:pt idx="6">
                  <c:v>4801.5346124455709</c:v>
                </c:pt>
                <c:pt idx="7">
                  <c:v>3910.2272578777161</c:v>
                </c:pt>
                <c:pt idx="8">
                  <c:v>3632.7889258841947</c:v>
                </c:pt>
                <c:pt idx="9">
                  <c:v>4145.8901532997616</c:v>
                </c:pt>
                <c:pt idx="10">
                  <c:v>4667.4752102121438</c:v>
                </c:pt>
                <c:pt idx="12">
                  <c:v>4801.5346124455709</c:v>
                </c:pt>
                <c:pt idx="13">
                  <c:v>3910.2272578777161</c:v>
                </c:pt>
                <c:pt idx="14">
                  <c:v>3632.7889258841947</c:v>
                </c:pt>
                <c:pt idx="15">
                  <c:v>4145.8901532997616</c:v>
                </c:pt>
                <c:pt idx="16">
                  <c:v>4667.4752102121438</c:v>
                </c:pt>
                <c:pt idx="18">
                  <c:v>4801.5346124455709</c:v>
                </c:pt>
                <c:pt idx="19">
                  <c:v>3910.2272578777161</c:v>
                </c:pt>
                <c:pt idx="20">
                  <c:v>3632.7889258841947</c:v>
                </c:pt>
                <c:pt idx="21">
                  <c:v>4145.8901532997616</c:v>
                </c:pt>
                <c:pt idx="22">
                  <c:v>4667.4752102121438</c:v>
                </c:pt>
              </c:numCache>
            </c:numRef>
          </c:val>
        </c:ser>
        <c:ser>
          <c:idx val="3"/>
          <c:order val="3"/>
          <c:tx>
            <c:strRef>
              <c:f>SUMMARY!$BD$187</c:f>
              <c:strCache>
                <c:ptCount val="1"/>
                <c:pt idx="0">
                  <c:v>GHGs</c:v>
                </c:pt>
              </c:strCache>
            </c:strRef>
          </c:tx>
          <c:spPr>
            <a:solidFill>
              <a:srgbClr val="336600"/>
            </a:solidFill>
          </c:spPr>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SUMMARY!$BD$188:$BD$210</c:f>
              <c:numCache>
                <c:formatCode>"$"#,##0</c:formatCode>
                <c:ptCount val="23"/>
                <c:pt idx="0">
                  <c:v>2024.7409595581712</c:v>
                </c:pt>
                <c:pt idx="1">
                  <c:v>1533.4235892112956</c:v>
                </c:pt>
                <c:pt idx="2">
                  <c:v>1470.9903780410214</c:v>
                </c:pt>
                <c:pt idx="3">
                  <c:v>1733.929370510444</c:v>
                </c:pt>
                <c:pt idx="4">
                  <c:v>1823.8017153265005</c:v>
                </c:pt>
              </c:numCache>
            </c:numRef>
          </c:val>
        </c:ser>
        <c:ser>
          <c:idx val="4"/>
          <c:order val="4"/>
          <c:tx>
            <c:strRef>
              <c:f>SUMMARY!$BE$187</c:f>
              <c:strCache>
                <c:ptCount val="1"/>
                <c:pt idx="0">
                  <c:v>CO</c:v>
                </c:pt>
              </c:strCache>
            </c:strRef>
          </c:tx>
          <c:spPr>
            <a:solidFill>
              <a:srgbClr val="C00000"/>
            </a:solidFill>
          </c:spPr>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SUMMARY!$BE$188:$BE$210</c:f>
              <c:numCache>
                <c:formatCode>"$"#,##0</c:formatCode>
                <c:ptCount val="23"/>
                <c:pt idx="0">
                  <c:v>312.25271204328538</c:v>
                </c:pt>
                <c:pt idx="1">
                  <c:v>309.62966328679141</c:v>
                </c:pt>
                <c:pt idx="2">
                  <c:v>226.57131861625834</c:v>
                </c:pt>
                <c:pt idx="3">
                  <c:v>173.83427687643018</c:v>
                </c:pt>
                <c:pt idx="4">
                  <c:v>17.869358676122928</c:v>
                </c:pt>
              </c:numCache>
            </c:numRef>
          </c:val>
        </c:ser>
        <c:ser>
          <c:idx val="5"/>
          <c:order val="5"/>
          <c:tx>
            <c:strRef>
              <c:f>SUMMARY!$BF$187</c:f>
              <c:strCache>
                <c:ptCount val="1"/>
                <c:pt idx="0">
                  <c:v>NH3</c:v>
                </c:pt>
              </c:strCache>
            </c:strRef>
          </c:tx>
          <c:spPr>
            <a:solidFill>
              <a:schemeClr val="accent1"/>
            </a:solidFill>
          </c:spPr>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SUMMARY!$BF$188:$BF$210</c:f>
              <c:numCache>
                <c:formatCode>"$"#,##0</c:formatCode>
                <c:ptCount val="23"/>
                <c:pt idx="0">
                  <c:v>0</c:v>
                </c:pt>
                <c:pt idx="1">
                  <c:v>0</c:v>
                </c:pt>
                <c:pt idx="2">
                  <c:v>0</c:v>
                </c:pt>
                <c:pt idx="3">
                  <c:v>0</c:v>
                </c:pt>
                <c:pt idx="4">
                  <c:v>0</c:v>
                </c:pt>
              </c:numCache>
            </c:numRef>
          </c:val>
        </c:ser>
        <c:ser>
          <c:idx val="6"/>
          <c:order val="6"/>
          <c:tx>
            <c:strRef>
              <c:f>SUMMARY!$BG$187</c:f>
              <c:strCache>
                <c:ptCount val="1"/>
                <c:pt idx="0">
                  <c:v>NOx</c:v>
                </c:pt>
              </c:strCache>
            </c:strRef>
          </c:tx>
          <c:spPr>
            <a:solidFill>
              <a:schemeClr val="accent6"/>
            </a:solidFill>
          </c:spPr>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SUMMARY!$BG$188:$BG$210</c:f>
              <c:numCache>
                <c:formatCode>"$"#,##0</c:formatCode>
                <c:ptCount val="23"/>
                <c:pt idx="0">
                  <c:v>104.13165470467408</c:v>
                </c:pt>
                <c:pt idx="1">
                  <c:v>85.056093960905713</c:v>
                </c:pt>
                <c:pt idx="2">
                  <c:v>82.644555338322789</c:v>
                </c:pt>
                <c:pt idx="3">
                  <c:v>99.170110306203711</c:v>
                </c:pt>
                <c:pt idx="4">
                  <c:v>128.73367902891709</c:v>
                </c:pt>
              </c:numCache>
            </c:numRef>
          </c:val>
        </c:ser>
        <c:ser>
          <c:idx val="7"/>
          <c:order val="7"/>
          <c:tx>
            <c:strRef>
              <c:f>SUMMARY!$BH$187</c:f>
              <c:strCache>
                <c:ptCount val="1"/>
                <c:pt idx="0">
                  <c:v>PM10</c:v>
                </c:pt>
              </c:strCache>
            </c:strRef>
          </c:tx>
          <c:spPr>
            <a:solidFill>
              <a:schemeClr val="accent4">
                <a:lumMod val="40000"/>
                <a:lumOff val="60000"/>
              </a:schemeClr>
            </a:solidFill>
          </c:spPr>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SUMMARY!$BH$188:$BH$210</c:f>
              <c:numCache>
                <c:formatCode>"$"#,##0</c:formatCode>
                <c:ptCount val="23"/>
                <c:pt idx="0">
                  <c:v>109.0601833311037</c:v>
                </c:pt>
                <c:pt idx="1">
                  <c:v>99.240449074941608</c:v>
                </c:pt>
                <c:pt idx="2">
                  <c:v>101.48096887821208</c:v>
                </c:pt>
                <c:pt idx="3">
                  <c:v>122.77531596720763</c:v>
                </c:pt>
                <c:pt idx="4">
                  <c:v>199.86763473738299</c:v>
                </c:pt>
              </c:numCache>
            </c:numRef>
          </c:val>
        </c:ser>
        <c:ser>
          <c:idx val="8"/>
          <c:order val="8"/>
          <c:tx>
            <c:strRef>
              <c:f>SUMMARY!$BI$187</c:f>
              <c:strCache>
                <c:ptCount val="1"/>
                <c:pt idx="0">
                  <c:v>PM2.5</c:v>
                </c:pt>
              </c:strCache>
            </c:strRef>
          </c:tx>
          <c:spPr>
            <a:solidFill>
              <a:schemeClr val="accent4">
                <a:lumMod val="75000"/>
              </a:schemeClr>
            </a:solidFill>
          </c:spPr>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SUMMARY!$BI$188:$BI$210</c:f>
              <c:numCache>
                <c:formatCode>"$"#,##0</c:formatCode>
                <c:ptCount val="23"/>
                <c:pt idx="0">
                  <c:v>327.17935195742109</c:v>
                </c:pt>
                <c:pt idx="1">
                  <c:v>296.12031154674804</c:v>
                </c:pt>
                <c:pt idx="2">
                  <c:v>291.66818921652788</c:v>
                </c:pt>
                <c:pt idx="3">
                  <c:v>333.46407461874128</c:v>
                </c:pt>
                <c:pt idx="4">
                  <c:v>475.91261374108592</c:v>
                </c:pt>
              </c:numCache>
            </c:numRef>
          </c:val>
        </c:ser>
        <c:ser>
          <c:idx val="9"/>
          <c:order val="9"/>
          <c:tx>
            <c:strRef>
              <c:f>SUMMARY!$BJ$187</c:f>
              <c:strCache>
                <c:ptCount val="1"/>
                <c:pt idx="0">
                  <c:v>SO2</c:v>
                </c:pt>
              </c:strCache>
            </c:strRef>
          </c:tx>
          <c:spPr>
            <a:solidFill>
              <a:srgbClr val="CCCC00"/>
            </a:solidFill>
          </c:spPr>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SUMMARY!$BJ$188:$BJ$210</c:f>
              <c:numCache>
                <c:formatCode>"$"#,##0</c:formatCode>
                <c:ptCount val="23"/>
                <c:pt idx="0">
                  <c:v>412.88420411262837</c:v>
                </c:pt>
                <c:pt idx="1">
                  <c:v>485.95540241708989</c:v>
                </c:pt>
                <c:pt idx="2">
                  <c:v>556.99015577880436</c:v>
                </c:pt>
                <c:pt idx="3">
                  <c:v>895.9992717436171</c:v>
                </c:pt>
                <c:pt idx="4">
                  <c:v>1938.8143695072956</c:v>
                </c:pt>
              </c:numCache>
            </c:numRef>
          </c:val>
        </c:ser>
        <c:ser>
          <c:idx val="10"/>
          <c:order val="10"/>
          <c:tx>
            <c:strRef>
              <c:f>SUMMARY!$BK$187</c:f>
              <c:strCache>
                <c:ptCount val="1"/>
                <c:pt idx="0">
                  <c:v>VOC</c:v>
                </c:pt>
              </c:strCache>
            </c:strRef>
          </c:tx>
          <c:spPr>
            <a:solidFill>
              <a:schemeClr val="accent5">
                <a:lumMod val="40000"/>
                <a:lumOff val="60000"/>
              </a:schemeClr>
            </a:solidFill>
          </c:spPr>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SUMMARY!$BK$188:$BK$210</c:f>
              <c:numCache>
                <c:formatCode>"$"#,##0</c:formatCode>
                <c:ptCount val="23"/>
                <c:pt idx="0">
                  <c:v>227.045243863363</c:v>
                </c:pt>
                <c:pt idx="1">
                  <c:v>183.48724632642646</c:v>
                </c:pt>
                <c:pt idx="2">
                  <c:v>157.06115570665324</c:v>
                </c:pt>
                <c:pt idx="3">
                  <c:v>141.14460618054966</c:v>
                </c:pt>
                <c:pt idx="4">
                  <c:v>82.475839194839338</c:v>
                </c:pt>
              </c:numCache>
            </c:numRef>
          </c:val>
        </c:ser>
        <c:gapWidth val="25"/>
        <c:overlap val="100"/>
        <c:axId val="130906368"/>
        <c:axId val="130912256"/>
      </c:barChart>
      <c:lineChart>
        <c:grouping val="standard"/>
        <c:ser>
          <c:idx val="1"/>
          <c:order val="1"/>
          <c:tx>
            <c:strRef>
              <c:f>SUMMARY!$BB$187</c:f>
              <c:strCache>
                <c:ptCount val="1"/>
                <c:pt idx="0">
                  <c:v>Low Case</c:v>
                </c:pt>
              </c:strCache>
            </c:strRef>
          </c:tx>
          <c:spPr>
            <a:ln w="25400">
              <a:prstDash val="sysDot"/>
            </a:ln>
          </c:spPr>
          <c:marker>
            <c:symbol val="none"/>
          </c:marker>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SUMMARY!$BB$188:$BB$210</c:f>
              <c:numCache>
                <c:formatCode>"$"#,##0</c:formatCode>
                <c:ptCount val="23"/>
                <c:pt idx="6">
                  <c:v>4801.5346124455709</c:v>
                </c:pt>
                <c:pt idx="7">
                  <c:v>3910.2272578777161</c:v>
                </c:pt>
                <c:pt idx="8">
                  <c:v>3370.0383139340011</c:v>
                </c:pt>
                <c:pt idx="9">
                  <c:v>3373.8760335020688</c:v>
                </c:pt>
                <c:pt idx="10">
                  <c:v>2905.4301141452202</c:v>
                </c:pt>
                <c:pt idx="12">
                  <c:v>4303.7869450633434</c:v>
                </c:pt>
                <c:pt idx="13">
                  <c:v>3441.5908813958449</c:v>
                </c:pt>
                <c:pt idx="14">
                  <c:v>3278.0495496322947</c:v>
                </c:pt>
                <c:pt idx="15">
                  <c:v>3863.8057497200984</c:v>
                </c:pt>
                <c:pt idx="16">
                  <c:v>4600.0258722296448</c:v>
                </c:pt>
                <c:pt idx="18">
                  <c:v>4801.5346124455709</c:v>
                </c:pt>
                <c:pt idx="19">
                  <c:v>3910.2272578777161</c:v>
                </c:pt>
                <c:pt idx="20">
                  <c:v>3721.3997336908124</c:v>
                </c:pt>
                <c:pt idx="21">
                  <c:v>4449.8044436715054</c:v>
                </c:pt>
                <c:pt idx="22">
                  <c:v>5898.1858128104841</c:v>
                </c:pt>
              </c:numCache>
            </c:numRef>
          </c:val>
        </c:ser>
        <c:ser>
          <c:idx val="2"/>
          <c:order val="2"/>
          <c:tx>
            <c:strRef>
              <c:f>SUMMARY!$BC$187</c:f>
              <c:strCache>
                <c:ptCount val="1"/>
                <c:pt idx="0">
                  <c:v>High Case</c:v>
                </c:pt>
              </c:strCache>
            </c:strRef>
          </c:tx>
          <c:spPr>
            <a:ln w="25400">
              <a:solidFill>
                <a:schemeClr val="tx2"/>
              </a:solidFill>
              <a:prstDash val="sysDot"/>
            </a:ln>
          </c:spPr>
          <c:marker>
            <c:symbol val="none"/>
          </c:marker>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SUMMARY!$BC$188:$BC$210</c:f>
              <c:numCache>
                <c:formatCode>"$"#,##0</c:formatCode>
                <c:ptCount val="23"/>
                <c:pt idx="6">
                  <c:v>4801.5346124455709</c:v>
                </c:pt>
                <c:pt idx="7">
                  <c:v>3910.2272578777161</c:v>
                </c:pt>
                <c:pt idx="8">
                  <c:v>4087.298104563889</c:v>
                </c:pt>
                <c:pt idx="9">
                  <c:v>5481.3294921999168</c:v>
                </c:pt>
                <c:pt idx="10">
                  <c:v>7715.4820767452402</c:v>
                </c:pt>
                <c:pt idx="12">
                  <c:v>6697.6196125010074</c:v>
                </c:pt>
                <c:pt idx="13">
                  <c:v>5681.9958077039519</c:v>
                </c:pt>
                <c:pt idx="14">
                  <c:v>4979.6432883898633</c:v>
                </c:pt>
                <c:pt idx="15">
                  <c:v>5221.6914713399337</c:v>
                </c:pt>
                <c:pt idx="16">
                  <c:v>4942.5400357672734</c:v>
                </c:pt>
                <c:pt idx="18">
                  <c:v>4801.5346124455709</c:v>
                </c:pt>
                <c:pt idx="19">
                  <c:v>3910.2272578777161</c:v>
                </c:pt>
                <c:pt idx="20">
                  <c:v>3632.7889258841947</c:v>
                </c:pt>
                <c:pt idx="21">
                  <c:v>4145.8901532997616</c:v>
                </c:pt>
                <c:pt idx="22">
                  <c:v>4667.4752102121438</c:v>
                </c:pt>
              </c:numCache>
            </c:numRef>
          </c:val>
        </c:ser>
        <c:marker val="1"/>
        <c:axId val="130906368"/>
        <c:axId val="130912256"/>
      </c:lineChart>
      <c:catAx>
        <c:axId val="130906368"/>
        <c:scaling>
          <c:orientation val="minMax"/>
        </c:scaling>
        <c:axPos val="b"/>
        <c:majorTickMark val="none"/>
        <c:tickLblPos val="nextTo"/>
        <c:crossAx val="130912256"/>
        <c:crosses val="autoZero"/>
        <c:auto val="1"/>
        <c:lblAlgn val="ctr"/>
        <c:lblOffset val="100"/>
      </c:catAx>
      <c:valAx>
        <c:axId val="130912256"/>
        <c:scaling>
          <c:orientation val="minMax"/>
          <c:max val="12000"/>
        </c:scaling>
        <c:axPos val="l"/>
        <c:majorGridlines/>
        <c:numFmt formatCode="&quot;$&quot;#,##0" sourceLinked="1"/>
        <c:tickLblPos val="nextTo"/>
        <c:crossAx val="130906368"/>
        <c:crosses val="autoZero"/>
        <c:crossBetween val="between"/>
      </c:valAx>
    </c:plotArea>
    <c:legend>
      <c:legendPos val="r"/>
      <c:layout>
        <c:manualLayout>
          <c:xMode val="edge"/>
          <c:yMode val="edge"/>
          <c:x val="0.79021441360834765"/>
          <c:y val="0.15109427342502704"/>
          <c:w val="0.20978563360487648"/>
          <c:h val="0.49933640574950544"/>
        </c:manualLayout>
      </c:layout>
    </c:legend>
    <c:plotVisOnly val="1"/>
    <c:dispBlanksAs val="gap"/>
  </c:chart>
  <c:spPr>
    <a:ln>
      <a:noFill/>
    </a:ln>
  </c:spPr>
  <c:printSettings>
    <c:headerFooter/>
    <c:pageMargins b="0.75000000000000822" l="0.70000000000000062" r="0.70000000000000062" t="0.75000000000000822"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a:pPr>
            <a:r>
              <a:rPr lang="en-US" sz="1600"/>
              <a:t>Lifetime Emissions  Externalities and Oil Premium wit</a:t>
            </a:r>
            <a:r>
              <a:rPr lang="en-US" sz="1600" baseline="0"/>
              <a:t>h </a:t>
            </a:r>
            <a:r>
              <a:rPr lang="en-US" sz="1600"/>
              <a:t>Sensitivity Analysis</a:t>
            </a:r>
          </a:p>
        </c:rich>
      </c:tx>
      <c:layout>
        <c:manualLayout>
          <c:xMode val="edge"/>
          <c:yMode val="edge"/>
          <c:x val="0.33219663810301858"/>
          <c:y val="1.2398950131233596E-2"/>
        </c:manualLayout>
      </c:layout>
    </c:title>
    <c:plotArea>
      <c:layout>
        <c:manualLayout>
          <c:layoutTarget val="inner"/>
          <c:xMode val="edge"/>
          <c:yMode val="edge"/>
          <c:x val="5.2657893836817092E-2"/>
          <c:y val="0.13141967611942293"/>
          <c:w val="0.8528390953257875"/>
          <c:h val="0.52200787186840825"/>
        </c:manualLayout>
      </c:layout>
      <c:barChart>
        <c:barDir val="col"/>
        <c:grouping val="stacked"/>
        <c:ser>
          <c:idx val="0"/>
          <c:order val="0"/>
          <c:tx>
            <c:strRef>
              <c:f>SUMMARY!$BA$42</c:f>
              <c:strCache>
                <c:ptCount val="1"/>
                <c:pt idx="0">
                  <c:v>Base Case</c:v>
                </c:pt>
              </c:strCache>
            </c:strRef>
          </c:tx>
          <c:spPr>
            <a:solidFill>
              <a:schemeClr val="bg1">
                <a:lumMod val="85000"/>
              </a:schemeClr>
            </a:solidFill>
            <a:ln>
              <a:solidFill>
                <a:schemeClr val="bg1">
                  <a:lumMod val="65000"/>
                </a:schemeClr>
              </a:solidFill>
            </a:ln>
          </c:spPr>
          <c:errBars>
            <c:errBarType val="both"/>
            <c:errValType val="cust"/>
            <c:plus>
              <c:numRef>
                <c:f>SUMMARY!$BP$43:$BP$143</c:f>
                <c:numCache>
                  <c:formatCode>General</c:formatCode>
                  <c:ptCount val="101"/>
                  <c:pt idx="6">
                    <c:v>0</c:v>
                  </c:pt>
                  <c:pt idx="7">
                    <c:v>0</c:v>
                  </c:pt>
                  <c:pt idx="8">
                    <c:v>454.50917867969429</c:v>
                  </c:pt>
                  <c:pt idx="9">
                    <c:v>1335.4393389001552</c:v>
                  </c:pt>
                  <c:pt idx="10">
                    <c:v>3048.0068665330964</c:v>
                  </c:pt>
                  <c:pt idx="12">
                    <c:v>0</c:v>
                  </c:pt>
                  <c:pt idx="13">
                    <c:v>0</c:v>
                  </c:pt>
                  <c:pt idx="14">
                    <c:v>-0.27737846446689218</c:v>
                  </c:pt>
                  <c:pt idx="15">
                    <c:v>-0.81499369119137555</c:v>
                  </c:pt>
                  <c:pt idx="16">
                    <c:v>-1.8601416736592</c:v>
                  </c:pt>
                  <c:pt idx="18">
                    <c:v>1108.3929919375905</c:v>
                  </c:pt>
                  <c:pt idx="19">
                    <c:v>791.70927995542252</c:v>
                  </c:pt>
                  <c:pt idx="20">
                    <c:v>643.31917455084067</c:v>
                  </c:pt>
                  <c:pt idx="21">
                    <c:v>557.17666565613399</c:v>
                  </c:pt>
                  <c:pt idx="22">
                    <c:v>0</c:v>
                  </c:pt>
                  <c:pt idx="24">
                    <c:v>118.22355217602671</c:v>
                  </c:pt>
                  <c:pt idx="25">
                    <c:v>84.445394411447978</c:v>
                  </c:pt>
                  <c:pt idx="26">
                    <c:v>68.617790397065619</c:v>
                  </c:pt>
                  <c:pt idx="27">
                    <c:v>59.429647320588629</c:v>
                  </c:pt>
                  <c:pt idx="28">
                    <c:v>0</c:v>
                  </c:pt>
                  <c:pt idx="30">
                    <c:v>176.25201440434012</c:v>
                  </c:pt>
                  <c:pt idx="31">
                    <c:v>125.89429600310086</c:v>
                  </c:pt>
                  <c:pt idx="32">
                    <c:v>102.29792252774132</c:v>
                  </c:pt>
                  <c:pt idx="33">
                    <c:v>88.599901312365546</c:v>
                  </c:pt>
                  <c:pt idx="34">
                    <c:v>0</c:v>
                  </c:pt>
                  <c:pt idx="36">
                    <c:v>48.398581668713632</c:v>
                  </c:pt>
                  <c:pt idx="37">
                    <c:v>50.516940350146797</c:v>
                  </c:pt>
                  <c:pt idx="38">
                    <c:v>48.58401304535073</c:v>
                  </c:pt>
                  <c:pt idx="39">
                    <c:v>65.098183024764694</c:v>
                  </c:pt>
                  <c:pt idx="40">
                    <c:v>138.47036004690744</c:v>
                  </c:pt>
                  <c:pt idx="42">
                    <c:v>256.13614570984373</c:v>
                  </c:pt>
                  <c:pt idx="43">
                    <c:v>319.61516410316426</c:v>
                  </c:pt>
                  <c:pt idx="44">
                    <c:v>278.77436375171192</c:v>
                  </c:pt>
                  <c:pt idx="45">
                    <c:v>360.02237115808748</c:v>
                  </c:pt>
                  <c:pt idx="46">
                    <c:v>721.00588952736598</c:v>
                  </c:pt>
                  <c:pt idx="48">
                    <c:v>164.5538308232035</c:v>
                  </c:pt>
                  <c:pt idx="49">
                    <c:v>179.79188683018492</c:v>
                  </c:pt>
                  <c:pt idx="50">
                    <c:v>193.84904929534832</c:v>
                  </c:pt>
                  <c:pt idx="51">
                    <c:v>321.74216707838514</c:v>
                  </c:pt>
                  <c:pt idx="52">
                    <c:v>834.33720698886918</c:v>
                  </c:pt>
                  <c:pt idx="54">
                    <c:v>-519.69133761941521</c:v>
                  </c:pt>
                  <c:pt idx="55">
                    <c:v>-370.99998710190357</c:v>
                  </c:pt>
                  <c:pt idx="56">
                    <c:v>-388.14286043364746</c:v>
                  </c:pt>
                  <c:pt idx="57">
                    <c:v>-414.3830436557173</c:v>
                  </c:pt>
                  <c:pt idx="58">
                    <c:v>-370.35506713435188</c:v>
                  </c:pt>
                  <c:pt idx="60">
                    <c:v>0</c:v>
                  </c:pt>
                  <c:pt idx="61">
                    <c:v>0</c:v>
                  </c:pt>
                  <c:pt idx="62">
                    <c:v>0</c:v>
                  </c:pt>
                  <c:pt idx="63">
                    <c:v>0</c:v>
                  </c:pt>
                  <c:pt idx="64">
                    <c:v>0</c:v>
                  </c:pt>
                  <c:pt idx="66">
                    <c:v>1896.0850000554365</c:v>
                  </c:pt>
                  <c:pt idx="67">
                    <c:v>1771.7685498262358</c:v>
                  </c:pt>
                  <c:pt idx="68">
                    <c:v>1346.8543625056686</c:v>
                  </c:pt>
                  <c:pt idx="69">
                    <c:v>1075.8013180401722</c:v>
                  </c:pt>
                  <c:pt idx="70">
                    <c:v>275.06482555512957</c:v>
                  </c:pt>
                  <c:pt idx="72">
                    <c:v>4724.3955723024001</c:v>
                  </c:pt>
                  <c:pt idx="73">
                    <c:v>3577.988374826356</c:v>
                  </c:pt>
                  <c:pt idx="74">
                    <c:v>3432.3108820957164</c:v>
                  </c:pt>
                  <c:pt idx="75">
                    <c:v>4045.8351978577039</c:v>
                  </c:pt>
                  <c:pt idx="76">
                    <c:v>4255.5373357618355</c:v>
                  </c:pt>
                  <c:pt idx="78">
                    <c:v>711.98495521188306</c:v>
                  </c:pt>
                  <c:pt idx="79">
                    <c:v>508.56068229420225</c:v>
                  </c:pt>
                  <c:pt idx="80">
                    <c:v>413.24113108910387</c:v>
                  </c:pt>
                  <c:pt idx="81">
                    <c:v>357.90681304183636</c:v>
                  </c:pt>
                  <c:pt idx="82">
                    <c:v>0</c:v>
                  </c:pt>
                  <c:pt idx="84">
                    <c:v>885.1275222831955</c:v>
                  </c:pt>
                  <c:pt idx="85">
                    <c:v>632.23394448799672</c:v>
                  </c:pt>
                  <c:pt idx="86">
                    <c:v>513.73430827278071</c:v>
                  </c:pt>
                  <c:pt idx="87">
                    <c:v>444.94363022280322</c:v>
                  </c:pt>
                  <c:pt idx="88">
                    <c:v>0</c:v>
                  </c:pt>
                  <c:pt idx="90">
                    <c:v>479.89076039711745</c:v>
                  </c:pt>
                  <c:pt idx="91">
                    <c:v>342.77911456936954</c:v>
                  </c:pt>
                  <c:pt idx="92">
                    <c:v>278.53200994492727</c:v>
                  </c:pt>
                  <c:pt idx="93">
                    <c:v>241.23567696854116</c:v>
                  </c:pt>
                  <c:pt idx="94">
                    <c:v>0</c:v>
                  </c:pt>
                  <c:pt idx="96">
                    <c:v>-1586.6591904042025</c:v>
                  </c:pt>
                  <c:pt idx="97">
                    <c:v>-1180.7610832574596</c:v>
                  </c:pt>
                  <c:pt idx="98">
                    <c:v>-1054.9090580269935</c:v>
                  </c:pt>
                  <c:pt idx="99">
                    <c:v>-1125.3609611401876</c:v>
                  </c:pt>
                  <c:pt idx="100">
                    <c:v>-799.45091214729246</c:v>
                  </c:pt>
                </c:numCache>
              </c:numRef>
            </c:plus>
            <c:minus>
              <c:numRef>
                <c:f>SUMMARY!$BO$43:$BO$143</c:f>
                <c:numCache>
                  <c:formatCode>General</c:formatCode>
                  <c:ptCount val="101"/>
                  <c:pt idx="6">
                    <c:v>0</c:v>
                  </c:pt>
                  <c:pt idx="7">
                    <c:v>0</c:v>
                  </c:pt>
                  <c:pt idx="8">
                    <c:v>262.75061195019362</c:v>
                  </c:pt>
                  <c:pt idx="9">
                    <c:v>772.01411979769273</c:v>
                  </c:pt>
                  <c:pt idx="10">
                    <c:v>1762.0450960669236</c:v>
                  </c:pt>
                  <c:pt idx="12">
                    <c:v>0</c:v>
                  </c:pt>
                  <c:pt idx="13">
                    <c:v>0</c:v>
                  </c:pt>
                  <c:pt idx="14">
                    <c:v>0</c:v>
                  </c:pt>
                  <c:pt idx="15">
                    <c:v>0</c:v>
                  </c:pt>
                  <c:pt idx="16">
                    <c:v>0</c:v>
                  </c:pt>
                  <c:pt idx="18">
                    <c:v>186.62395720419954</c:v>
                  </c:pt>
                  <c:pt idx="19">
                    <c:v>133.3028265744274</c:v>
                  </c:pt>
                  <c:pt idx="20">
                    <c:v>108.31787188598219</c:v>
                  </c:pt>
                  <c:pt idx="21">
                    <c:v>93.813760067911971</c:v>
                  </c:pt>
                  <c:pt idx="22">
                    <c:v>0</c:v>
                  </c:pt>
                  <c:pt idx="24">
                    <c:v>70.217634142170027</c:v>
                  </c:pt>
                  <c:pt idx="25">
                    <c:v>50.155452958692877</c:v>
                  </c:pt>
                  <c:pt idx="26">
                    <c:v>40.754814189403987</c:v>
                  </c:pt>
                  <c:pt idx="27">
                    <c:v>35.297613343082958</c:v>
                  </c:pt>
                  <c:pt idx="28">
                    <c:v>0</c:v>
                  </c:pt>
                  <c:pt idx="30">
                    <c:v>18.335932779051291</c:v>
                  </c:pt>
                  <c:pt idx="31">
                    <c:v>13.097094842178649</c:v>
                  </c:pt>
                  <c:pt idx="32">
                    <c:v>10.642305775877048</c:v>
                  </c:pt>
                  <c:pt idx="33">
                    <c:v>9.2172667653430835</c:v>
                  </c:pt>
                  <c:pt idx="34">
                    <c:v>0</c:v>
                  </c:pt>
                  <c:pt idx="36">
                    <c:v>65.792574846020216</c:v>
                  </c:pt>
                  <c:pt idx="37">
                    <c:v>68.988306518566787</c:v>
                  </c:pt>
                  <c:pt idx="38">
                    <c:v>66.072314499457207</c:v>
                  </c:pt>
                  <c:pt idx="39">
                    <c:v>90.985402406434787</c:v>
                  </c:pt>
                  <c:pt idx="40">
                    <c:v>201.67382927607014</c:v>
                  </c:pt>
                  <c:pt idx="42">
                    <c:v>454.94988383238706</c:v>
                  </c:pt>
                  <c:pt idx="43">
                    <c:v>524.7886467282442</c:v>
                  </c:pt>
                  <c:pt idx="44">
                    <c:v>531.08973541247587</c:v>
                  </c:pt>
                  <c:pt idx="45">
                    <c:v>698.89622953986282</c:v>
                  </c:pt>
                  <c:pt idx="46">
                    <c:v>1444.4576357703077</c:v>
                  </c:pt>
                  <c:pt idx="48">
                    <c:v>235.58403210891174</c:v>
                  </c:pt>
                  <c:pt idx="49">
                    <c:v>257.29894146856805</c:v>
                  </c:pt>
                  <c:pt idx="50">
                    <c:v>277.33274465694103</c:v>
                  </c:pt>
                  <c:pt idx="51">
                    <c:v>459.59623693370395</c:v>
                  </c:pt>
                  <c:pt idx="52">
                    <c:v>1174.8330531466841</c:v>
                  </c:pt>
                  <c:pt idx="54">
                    <c:v>0</c:v>
                  </c:pt>
                  <c:pt idx="55">
                    <c:v>0</c:v>
                  </c:pt>
                  <c:pt idx="56">
                    <c:v>0</c:v>
                  </c:pt>
                  <c:pt idx="57">
                    <c:v>0</c:v>
                  </c:pt>
                  <c:pt idx="58">
                    <c:v>0</c:v>
                  </c:pt>
                  <c:pt idx="60">
                    <c:v>0</c:v>
                  </c:pt>
                  <c:pt idx="61">
                    <c:v>0</c:v>
                  </c:pt>
                  <c:pt idx="62">
                    <c:v>-88.610807806617686</c:v>
                  </c:pt>
                  <c:pt idx="63">
                    <c:v>-303.91429037174385</c:v>
                  </c:pt>
                  <c:pt idx="64">
                    <c:v>-1230.7106025983403</c:v>
                  </c:pt>
                  <c:pt idx="66">
                    <c:v>497.74766738222752</c:v>
                  </c:pt>
                  <c:pt idx="67">
                    <c:v>468.63637648187114</c:v>
                  </c:pt>
                  <c:pt idx="68">
                    <c:v>354.73937625190001</c:v>
                  </c:pt>
                  <c:pt idx="69">
                    <c:v>282.0844035796631</c:v>
                  </c:pt>
                  <c:pt idx="70">
                    <c:v>67.449337982498946</c:v>
                  </c:pt>
                  <c:pt idx="72">
                    <c:v>1349.827306372114</c:v>
                  </c:pt>
                  <c:pt idx="73">
                    <c:v>1022.28239280753</c:v>
                  </c:pt>
                  <c:pt idx="74">
                    <c:v>980.66025202734772</c:v>
                  </c:pt>
                  <c:pt idx="75">
                    <c:v>1155.9529136736292</c:v>
                  </c:pt>
                  <c:pt idx="76">
                    <c:v>1215.8678102176668</c:v>
                  </c:pt>
                  <c:pt idx="78">
                    <c:v>335.57912294287598</c:v>
                  </c:pt>
                  <c:pt idx="79">
                    <c:v>239.69937353062596</c:v>
                  </c:pt>
                  <c:pt idx="80">
                    <c:v>194.7725093341819</c:v>
                  </c:pt>
                  <c:pt idx="81">
                    <c:v>168.69184318665293</c:v>
                  </c:pt>
                  <c:pt idx="82">
                    <c:v>0</c:v>
                  </c:pt>
                  <c:pt idx="84">
                    <c:v>558.09619562908847</c:v>
                  </c:pt>
                  <c:pt idx="85">
                    <c:v>398.64013973506326</c:v>
                  </c:pt>
                  <c:pt idx="86">
                    <c:v>323.92300068989061</c:v>
                  </c:pt>
                  <c:pt idx="87">
                    <c:v>280.54866789837752</c:v>
                  </c:pt>
                  <c:pt idx="88">
                    <c:v>0</c:v>
                  </c:pt>
                  <c:pt idx="90">
                    <c:v>0</c:v>
                  </c:pt>
                  <c:pt idx="91">
                    <c:v>0</c:v>
                  </c:pt>
                  <c:pt idx="92">
                    <c:v>0</c:v>
                  </c:pt>
                  <c:pt idx="93">
                    <c:v>0</c:v>
                  </c:pt>
                  <c:pt idx="94">
                    <c:v>0</c:v>
                  </c:pt>
                  <c:pt idx="96">
                    <c:v>-2285.9500403192815</c:v>
                  </c:pt>
                  <c:pt idx="97">
                    <c:v>-1701.9865142948206</c:v>
                  </c:pt>
                  <c:pt idx="98">
                    <c:v>-1520.5794093553363</c:v>
                  </c:pt>
                  <c:pt idx="99">
                    <c:v>-1622.1310193340996</c:v>
                  </c:pt>
                  <c:pt idx="100">
                    <c:v>-1182.489015255469</c:v>
                  </c:pt>
                </c:numCache>
              </c:numRef>
            </c:minus>
            <c:spPr>
              <a:ln w="12700">
                <a:solidFill>
                  <a:sysClr val="windowText" lastClr="000000"/>
                </a:solidFill>
              </a:ln>
            </c:spPr>
          </c:errBars>
          <c:cat>
            <c:multiLvlStrRef>
              <c:f>SUMMARY!$AY$43:$AZ$143</c:f>
              <c:multiLvlStrCache>
                <c:ptCount val="101"/>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pt idx="66">
                    <c:v>CV</c:v>
                  </c:pt>
                  <c:pt idx="67">
                    <c:v>HEV</c:v>
                  </c:pt>
                  <c:pt idx="68">
                    <c:v>PHEV20</c:v>
                  </c:pt>
                  <c:pt idx="69">
                    <c:v>PHEV60</c:v>
                  </c:pt>
                  <c:pt idx="70">
                    <c:v>BEV240</c:v>
                  </c:pt>
                  <c:pt idx="72">
                    <c:v>CV</c:v>
                  </c:pt>
                  <c:pt idx="73">
                    <c:v>HEV</c:v>
                  </c:pt>
                  <c:pt idx="74">
                    <c:v>PHEV20</c:v>
                  </c:pt>
                  <c:pt idx="75">
                    <c:v>PHEV60</c:v>
                  </c:pt>
                  <c:pt idx="76">
                    <c:v>BEV240</c:v>
                  </c:pt>
                  <c:pt idx="78">
                    <c:v>CV</c:v>
                  </c:pt>
                  <c:pt idx="79">
                    <c:v>HEV</c:v>
                  </c:pt>
                  <c:pt idx="80">
                    <c:v>PHEV20</c:v>
                  </c:pt>
                  <c:pt idx="81">
                    <c:v>PHEV60</c:v>
                  </c:pt>
                  <c:pt idx="82">
                    <c:v>BEV240</c:v>
                  </c:pt>
                  <c:pt idx="84">
                    <c:v>CV</c:v>
                  </c:pt>
                  <c:pt idx="85">
                    <c:v>HEV</c:v>
                  </c:pt>
                  <c:pt idx="86">
                    <c:v>PHEV20</c:v>
                  </c:pt>
                  <c:pt idx="87">
                    <c:v>PHEV60</c:v>
                  </c:pt>
                  <c:pt idx="88">
                    <c:v>BEV240</c:v>
                  </c:pt>
                  <c:pt idx="90">
                    <c:v>CV</c:v>
                  </c:pt>
                  <c:pt idx="91">
                    <c:v>HEV</c:v>
                  </c:pt>
                  <c:pt idx="92">
                    <c:v>PHEV20</c:v>
                  </c:pt>
                  <c:pt idx="93">
                    <c:v>PHEV60</c:v>
                  </c:pt>
                  <c:pt idx="94">
                    <c:v>BEV240</c:v>
                  </c:pt>
                  <c:pt idx="96">
                    <c:v>CV</c:v>
                  </c:pt>
                  <c:pt idx="97">
                    <c:v>HEV</c:v>
                  </c:pt>
                  <c:pt idx="98">
                    <c:v>PHEV20</c:v>
                  </c:pt>
                  <c:pt idx="99">
                    <c:v>PHEV60</c:v>
                  </c:pt>
                  <c:pt idx="100">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pt idx="53">
                    <c:v> </c:v>
                  </c:pt>
                  <c:pt idx="54">
                    <c:v>Vehicle Data
Cases</c:v>
                  </c:pt>
                  <c:pt idx="59">
                    <c:v> </c:v>
                  </c:pt>
                  <c:pt idx="60">
                    <c:v>Li-ion Battery
Life Cases</c:v>
                  </c:pt>
                  <c:pt idx="65">
                    <c:v> </c:v>
                  </c:pt>
                  <c:pt idx="66">
                    <c:v>Driving Location Cases</c:v>
                  </c:pt>
                  <c:pt idx="71">
                    <c:v> </c:v>
                  </c:pt>
                  <c:pt idx="72">
                    <c:v>GHG Value
Cases</c:v>
                  </c:pt>
                  <c:pt idx="77">
                    <c:v> </c:v>
                  </c:pt>
                  <c:pt idx="78">
                    <c:v>Oil Disruption
Cases</c:v>
                  </c:pt>
                  <c:pt idx="83">
                    <c:v> </c:v>
                  </c:pt>
                  <c:pt idx="84">
                    <c:v>Oil Monopsony
Cases</c:v>
                  </c:pt>
                  <c:pt idx="89">
                    <c:v> </c:v>
                  </c:pt>
                  <c:pt idx="90">
                    <c:v>Oil Military
Cases</c:v>
                  </c:pt>
                  <c:pt idx="95">
                    <c:v> </c:v>
                  </c:pt>
                  <c:pt idx="96">
                    <c:v>Discount 
Rate Cases</c:v>
                  </c:pt>
                </c:lvl>
              </c:multiLvlStrCache>
            </c:multiLvlStrRef>
          </c:cat>
          <c:val>
            <c:numRef>
              <c:f>SUMMARY!$BA$43:$BA$143</c:f>
              <c:numCache>
                <c:formatCode>"$"#,##0</c:formatCode>
                <c:ptCount val="101"/>
                <c:pt idx="6">
                  <c:v>4801.5346124455709</c:v>
                </c:pt>
                <c:pt idx="7">
                  <c:v>3910.2272578777161</c:v>
                </c:pt>
                <c:pt idx="8">
                  <c:v>3632.7889258841947</c:v>
                </c:pt>
                <c:pt idx="9">
                  <c:v>4145.8901532997616</c:v>
                </c:pt>
                <c:pt idx="10">
                  <c:v>4667.4752102121438</c:v>
                </c:pt>
                <c:pt idx="12">
                  <c:v>4801.5346124455709</c:v>
                </c:pt>
                <c:pt idx="13">
                  <c:v>3910.2272578777161</c:v>
                </c:pt>
                <c:pt idx="14">
                  <c:v>3632.7889258841947</c:v>
                </c:pt>
                <c:pt idx="15">
                  <c:v>4145.8901532997616</c:v>
                </c:pt>
                <c:pt idx="16">
                  <c:v>4667.4752102121438</c:v>
                </c:pt>
                <c:pt idx="18">
                  <c:v>4801.5346124455709</c:v>
                </c:pt>
                <c:pt idx="19">
                  <c:v>3910.2272578777161</c:v>
                </c:pt>
                <c:pt idx="20">
                  <c:v>3632.7889258841947</c:v>
                </c:pt>
                <c:pt idx="21">
                  <c:v>4145.8901532997616</c:v>
                </c:pt>
                <c:pt idx="22">
                  <c:v>4667.4752102121438</c:v>
                </c:pt>
                <c:pt idx="24">
                  <c:v>4801.5346124455709</c:v>
                </c:pt>
                <c:pt idx="25">
                  <c:v>3910.2272578777161</c:v>
                </c:pt>
                <c:pt idx="26">
                  <c:v>3632.7889258841947</c:v>
                </c:pt>
                <c:pt idx="27">
                  <c:v>4145.8901532997616</c:v>
                </c:pt>
                <c:pt idx="28">
                  <c:v>4667.4752102121438</c:v>
                </c:pt>
                <c:pt idx="30">
                  <c:v>4801.5346124455709</c:v>
                </c:pt>
                <c:pt idx="31">
                  <c:v>3910.2272578777161</c:v>
                </c:pt>
                <c:pt idx="32">
                  <c:v>3632.7889258841947</c:v>
                </c:pt>
                <c:pt idx="33">
                  <c:v>4145.8901532997616</c:v>
                </c:pt>
                <c:pt idx="34">
                  <c:v>4667.4752102121438</c:v>
                </c:pt>
                <c:pt idx="36">
                  <c:v>4801.5346124455709</c:v>
                </c:pt>
                <c:pt idx="37">
                  <c:v>3910.2272578777161</c:v>
                </c:pt>
                <c:pt idx="38">
                  <c:v>3632.7889258841947</c:v>
                </c:pt>
                <c:pt idx="39">
                  <c:v>4145.8901532997616</c:v>
                </c:pt>
                <c:pt idx="40">
                  <c:v>4667.4752102121438</c:v>
                </c:pt>
                <c:pt idx="42">
                  <c:v>4801.5346124455709</c:v>
                </c:pt>
                <c:pt idx="43">
                  <c:v>3910.2272578777161</c:v>
                </c:pt>
                <c:pt idx="44">
                  <c:v>3632.7889258841947</c:v>
                </c:pt>
                <c:pt idx="45">
                  <c:v>4145.8901532997616</c:v>
                </c:pt>
                <c:pt idx="46">
                  <c:v>4667.4752102121438</c:v>
                </c:pt>
                <c:pt idx="48">
                  <c:v>4801.5346124455709</c:v>
                </c:pt>
                <c:pt idx="49">
                  <c:v>3910.2272578777161</c:v>
                </c:pt>
                <c:pt idx="50">
                  <c:v>3632.7889258841947</c:v>
                </c:pt>
                <c:pt idx="51">
                  <c:v>4145.8901532997616</c:v>
                </c:pt>
                <c:pt idx="52">
                  <c:v>4667.4752102121438</c:v>
                </c:pt>
                <c:pt idx="54">
                  <c:v>4801.5346124455709</c:v>
                </c:pt>
                <c:pt idx="55">
                  <c:v>3910.2272578777161</c:v>
                </c:pt>
                <c:pt idx="56">
                  <c:v>3632.7889258841947</c:v>
                </c:pt>
                <c:pt idx="57">
                  <c:v>4145.8901532997616</c:v>
                </c:pt>
                <c:pt idx="58">
                  <c:v>4667.4752102121438</c:v>
                </c:pt>
                <c:pt idx="60">
                  <c:v>4801.5346124455709</c:v>
                </c:pt>
                <c:pt idx="61">
                  <c:v>3910.2272578777161</c:v>
                </c:pt>
                <c:pt idx="62">
                  <c:v>3632.7889258841947</c:v>
                </c:pt>
                <c:pt idx="63">
                  <c:v>4145.8901532997616</c:v>
                </c:pt>
                <c:pt idx="64">
                  <c:v>4667.4752102121438</c:v>
                </c:pt>
                <c:pt idx="66">
                  <c:v>4801.5346124455709</c:v>
                </c:pt>
                <c:pt idx="67">
                  <c:v>3910.2272578777161</c:v>
                </c:pt>
                <c:pt idx="68">
                  <c:v>3632.7889258841947</c:v>
                </c:pt>
                <c:pt idx="69">
                  <c:v>4145.8901532997616</c:v>
                </c:pt>
                <c:pt idx="70">
                  <c:v>4667.4752102121438</c:v>
                </c:pt>
                <c:pt idx="72">
                  <c:v>4801.5346124455709</c:v>
                </c:pt>
                <c:pt idx="73">
                  <c:v>3910.2272578777161</c:v>
                </c:pt>
                <c:pt idx="74">
                  <c:v>3632.7889258841947</c:v>
                </c:pt>
                <c:pt idx="75">
                  <c:v>4145.8901532997616</c:v>
                </c:pt>
                <c:pt idx="76">
                  <c:v>4667.4752102121438</c:v>
                </c:pt>
                <c:pt idx="78">
                  <c:v>4801.5346124455709</c:v>
                </c:pt>
                <c:pt idx="79">
                  <c:v>3910.2272578777161</c:v>
                </c:pt>
                <c:pt idx="80">
                  <c:v>3632.7889258841947</c:v>
                </c:pt>
                <c:pt idx="81">
                  <c:v>4145.8901532997616</c:v>
                </c:pt>
                <c:pt idx="82">
                  <c:v>4667.4752102121438</c:v>
                </c:pt>
                <c:pt idx="84">
                  <c:v>4801.5346124455709</c:v>
                </c:pt>
                <c:pt idx="85">
                  <c:v>3910.2272578777161</c:v>
                </c:pt>
                <c:pt idx="86">
                  <c:v>3632.7889258841947</c:v>
                </c:pt>
                <c:pt idx="87">
                  <c:v>4145.8901532997616</c:v>
                </c:pt>
                <c:pt idx="88">
                  <c:v>4667.4752102121438</c:v>
                </c:pt>
                <c:pt idx="90">
                  <c:v>4801.5346124455709</c:v>
                </c:pt>
                <c:pt idx="91">
                  <c:v>3910.2272578777161</c:v>
                </c:pt>
                <c:pt idx="92">
                  <c:v>3632.7889258841947</c:v>
                </c:pt>
                <c:pt idx="93">
                  <c:v>4145.8901532997616</c:v>
                </c:pt>
                <c:pt idx="94">
                  <c:v>4667.4752102121438</c:v>
                </c:pt>
                <c:pt idx="96">
                  <c:v>4801.5346124455709</c:v>
                </c:pt>
                <c:pt idx="97">
                  <c:v>3910.2272578777161</c:v>
                </c:pt>
                <c:pt idx="98">
                  <c:v>3632.7889258841947</c:v>
                </c:pt>
                <c:pt idx="99">
                  <c:v>4145.8901532997616</c:v>
                </c:pt>
                <c:pt idx="100">
                  <c:v>4667.4752102121438</c:v>
                </c:pt>
              </c:numCache>
            </c:numRef>
          </c:val>
        </c:ser>
        <c:ser>
          <c:idx val="3"/>
          <c:order val="3"/>
          <c:tx>
            <c:strRef>
              <c:f>SUMMARY!$BD$42</c:f>
              <c:strCache>
                <c:ptCount val="1"/>
                <c:pt idx="0">
                  <c:v>GHGs</c:v>
                </c:pt>
              </c:strCache>
            </c:strRef>
          </c:tx>
          <c:spPr>
            <a:solidFill>
              <a:srgbClr val="336600"/>
            </a:solidFill>
          </c:spPr>
          <c:cat>
            <c:multiLvlStrRef>
              <c:f>SUMMARY!$AY$43:$AZ$143</c:f>
              <c:multiLvlStrCache>
                <c:ptCount val="101"/>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pt idx="66">
                    <c:v>CV</c:v>
                  </c:pt>
                  <c:pt idx="67">
                    <c:v>HEV</c:v>
                  </c:pt>
                  <c:pt idx="68">
                    <c:v>PHEV20</c:v>
                  </c:pt>
                  <c:pt idx="69">
                    <c:v>PHEV60</c:v>
                  </c:pt>
                  <c:pt idx="70">
                    <c:v>BEV240</c:v>
                  </c:pt>
                  <c:pt idx="72">
                    <c:v>CV</c:v>
                  </c:pt>
                  <c:pt idx="73">
                    <c:v>HEV</c:v>
                  </c:pt>
                  <c:pt idx="74">
                    <c:v>PHEV20</c:v>
                  </c:pt>
                  <c:pt idx="75">
                    <c:v>PHEV60</c:v>
                  </c:pt>
                  <c:pt idx="76">
                    <c:v>BEV240</c:v>
                  </c:pt>
                  <c:pt idx="78">
                    <c:v>CV</c:v>
                  </c:pt>
                  <c:pt idx="79">
                    <c:v>HEV</c:v>
                  </c:pt>
                  <c:pt idx="80">
                    <c:v>PHEV20</c:v>
                  </c:pt>
                  <c:pt idx="81">
                    <c:v>PHEV60</c:v>
                  </c:pt>
                  <c:pt idx="82">
                    <c:v>BEV240</c:v>
                  </c:pt>
                  <c:pt idx="84">
                    <c:v>CV</c:v>
                  </c:pt>
                  <c:pt idx="85">
                    <c:v>HEV</c:v>
                  </c:pt>
                  <c:pt idx="86">
                    <c:v>PHEV20</c:v>
                  </c:pt>
                  <c:pt idx="87">
                    <c:v>PHEV60</c:v>
                  </c:pt>
                  <c:pt idx="88">
                    <c:v>BEV240</c:v>
                  </c:pt>
                  <c:pt idx="90">
                    <c:v>CV</c:v>
                  </c:pt>
                  <c:pt idx="91">
                    <c:v>HEV</c:v>
                  </c:pt>
                  <c:pt idx="92">
                    <c:v>PHEV20</c:v>
                  </c:pt>
                  <c:pt idx="93">
                    <c:v>PHEV60</c:v>
                  </c:pt>
                  <c:pt idx="94">
                    <c:v>BEV240</c:v>
                  </c:pt>
                  <c:pt idx="96">
                    <c:v>CV</c:v>
                  </c:pt>
                  <c:pt idx="97">
                    <c:v>HEV</c:v>
                  </c:pt>
                  <c:pt idx="98">
                    <c:v>PHEV20</c:v>
                  </c:pt>
                  <c:pt idx="99">
                    <c:v>PHEV60</c:v>
                  </c:pt>
                  <c:pt idx="100">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pt idx="53">
                    <c:v> </c:v>
                  </c:pt>
                  <c:pt idx="54">
                    <c:v>Vehicle Data
Cases</c:v>
                  </c:pt>
                  <c:pt idx="59">
                    <c:v> </c:v>
                  </c:pt>
                  <c:pt idx="60">
                    <c:v>Li-ion Battery
Life Cases</c:v>
                  </c:pt>
                  <c:pt idx="65">
                    <c:v> </c:v>
                  </c:pt>
                  <c:pt idx="66">
                    <c:v>Driving Location Cases</c:v>
                  </c:pt>
                  <c:pt idx="71">
                    <c:v> </c:v>
                  </c:pt>
                  <c:pt idx="72">
                    <c:v>GHG Value
Cases</c:v>
                  </c:pt>
                  <c:pt idx="77">
                    <c:v> </c:v>
                  </c:pt>
                  <c:pt idx="78">
                    <c:v>Oil Disruption
Cases</c:v>
                  </c:pt>
                  <c:pt idx="83">
                    <c:v> </c:v>
                  </c:pt>
                  <c:pt idx="84">
                    <c:v>Oil Monopsony
Cases</c:v>
                  </c:pt>
                  <c:pt idx="89">
                    <c:v> </c:v>
                  </c:pt>
                  <c:pt idx="90">
                    <c:v>Oil Military
Cases</c:v>
                  </c:pt>
                  <c:pt idx="95">
                    <c:v> </c:v>
                  </c:pt>
                  <c:pt idx="96">
                    <c:v>Discount 
Rate Cases</c:v>
                  </c:pt>
                </c:lvl>
              </c:multiLvlStrCache>
            </c:multiLvlStrRef>
          </c:cat>
          <c:val>
            <c:numRef>
              <c:f>SUMMARY!$BD$43:$BD$143</c:f>
              <c:numCache>
                <c:formatCode>"$"#,##0</c:formatCode>
                <c:ptCount val="101"/>
                <c:pt idx="0">
                  <c:v>2024.7409595581712</c:v>
                </c:pt>
                <c:pt idx="1">
                  <c:v>1533.4235892112956</c:v>
                </c:pt>
                <c:pt idx="2">
                  <c:v>1470.9903780410214</c:v>
                </c:pt>
                <c:pt idx="3">
                  <c:v>1733.929370510444</c:v>
                </c:pt>
                <c:pt idx="4">
                  <c:v>1823.8017153265005</c:v>
                </c:pt>
              </c:numCache>
            </c:numRef>
          </c:val>
        </c:ser>
        <c:ser>
          <c:idx val="4"/>
          <c:order val="4"/>
          <c:tx>
            <c:strRef>
              <c:f>SUMMARY!$BE$42</c:f>
              <c:strCache>
                <c:ptCount val="1"/>
                <c:pt idx="0">
                  <c:v>CO</c:v>
                </c:pt>
              </c:strCache>
            </c:strRef>
          </c:tx>
          <c:spPr>
            <a:solidFill>
              <a:srgbClr val="C00000"/>
            </a:solidFill>
          </c:spPr>
          <c:cat>
            <c:multiLvlStrRef>
              <c:f>SUMMARY!$AY$43:$AZ$143</c:f>
              <c:multiLvlStrCache>
                <c:ptCount val="101"/>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pt idx="66">
                    <c:v>CV</c:v>
                  </c:pt>
                  <c:pt idx="67">
                    <c:v>HEV</c:v>
                  </c:pt>
                  <c:pt idx="68">
                    <c:v>PHEV20</c:v>
                  </c:pt>
                  <c:pt idx="69">
                    <c:v>PHEV60</c:v>
                  </c:pt>
                  <c:pt idx="70">
                    <c:v>BEV240</c:v>
                  </c:pt>
                  <c:pt idx="72">
                    <c:v>CV</c:v>
                  </c:pt>
                  <c:pt idx="73">
                    <c:v>HEV</c:v>
                  </c:pt>
                  <c:pt idx="74">
                    <c:v>PHEV20</c:v>
                  </c:pt>
                  <c:pt idx="75">
                    <c:v>PHEV60</c:v>
                  </c:pt>
                  <c:pt idx="76">
                    <c:v>BEV240</c:v>
                  </c:pt>
                  <c:pt idx="78">
                    <c:v>CV</c:v>
                  </c:pt>
                  <c:pt idx="79">
                    <c:v>HEV</c:v>
                  </c:pt>
                  <c:pt idx="80">
                    <c:v>PHEV20</c:v>
                  </c:pt>
                  <c:pt idx="81">
                    <c:v>PHEV60</c:v>
                  </c:pt>
                  <c:pt idx="82">
                    <c:v>BEV240</c:v>
                  </c:pt>
                  <c:pt idx="84">
                    <c:v>CV</c:v>
                  </c:pt>
                  <c:pt idx="85">
                    <c:v>HEV</c:v>
                  </c:pt>
                  <c:pt idx="86">
                    <c:v>PHEV20</c:v>
                  </c:pt>
                  <c:pt idx="87">
                    <c:v>PHEV60</c:v>
                  </c:pt>
                  <c:pt idx="88">
                    <c:v>BEV240</c:v>
                  </c:pt>
                  <c:pt idx="90">
                    <c:v>CV</c:v>
                  </c:pt>
                  <c:pt idx="91">
                    <c:v>HEV</c:v>
                  </c:pt>
                  <c:pt idx="92">
                    <c:v>PHEV20</c:v>
                  </c:pt>
                  <c:pt idx="93">
                    <c:v>PHEV60</c:v>
                  </c:pt>
                  <c:pt idx="94">
                    <c:v>BEV240</c:v>
                  </c:pt>
                  <c:pt idx="96">
                    <c:v>CV</c:v>
                  </c:pt>
                  <c:pt idx="97">
                    <c:v>HEV</c:v>
                  </c:pt>
                  <c:pt idx="98">
                    <c:v>PHEV20</c:v>
                  </c:pt>
                  <c:pt idx="99">
                    <c:v>PHEV60</c:v>
                  </c:pt>
                  <c:pt idx="100">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pt idx="53">
                    <c:v> </c:v>
                  </c:pt>
                  <c:pt idx="54">
                    <c:v>Vehicle Data
Cases</c:v>
                  </c:pt>
                  <c:pt idx="59">
                    <c:v> </c:v>
                  </c:pt>
                  <c:pt idx="60">
                    <c:v>Li-ion Battery
Life Cases</c:v>
                  </c:pt>
                  <c:pt idx="65">
                    <c:v> </c:v>
                  </c:pt>
                  <c:pt idx="66">
                    <c:v>Driving Location Cases</c:v>
                  </c:pt>
                  <c:pt idx="71">
                    <c:v> </c:v>
                  </c:pt>
                  <c:pt idx="72">
                    <c:v>GHG Value
Cases</c:v>
                  </c:pt>
                  <c:pt idx="77">
                    <c:v> </c:v>
                  </c:pt>
                  <c:pt idx="78">
                    <c:v>Oil Disruption
Cases</c:v>
                  </c:pt>
                  <c:pt idx="83">
                    <c:v> </c:v>
                  </c:pt>
                  <c:pt idx="84">
                    <c:v>Oil Monopsony
Cases</c:v>
                  </c:pt>
                  <c:pt idx="89">
                    <c:v> </c:v>
                  </c:pt>
                  <c:pt idx="90">
                    <c:v>Oil Military
Cases</c:v>
                  </c:pt>
                  <c:pt idx="95">
                    <c:v> </c:v>
                  </c:pt>
                  <c:pt idx="96">
                    <c:v>Discount 
Rate Cases</c:v>
                  </c:pt>
                </c:lvl>
              </c:multiLvlStrCache>
            </c:multiLvlStrRef>
          </c:cat>
          <c:val>
            <c:numRef>
              <c:f>SUMMARY!$BE$43:$BE$143</c:f>
              <c:numCache>
                <c:formatCode>"$"#,##0</c:formatCode>
                <c:ptCount val="101"/>
                <c:pt idx="0">
                  <c:v>312.25271204328538</c:v>
                </c:pt>
                <c:pt idx="1">
                  <c:v>309.62966328679141</c:v>
                </c:pt>
                <c:pt idx="2">
                  <c:v>226.57131861625834</c:v>
                </c:pt>
                <c:pt idx="3">
                  <c:v>173.83427687643018</c:v>
                </c:pt>
                <c:pt idx="4">
                  <c:v>17.869358676122928</c:v>
                </c:pt>
              </c:numCache>
            </c:numRef>
          </c:val>
        </c:ser>
        <c:ser>
          <c:idx val="5"/>
          <c:order val="5"/>
          <c:tx>
            <c:strRef>
              <c:f>SUMMARY!$BF$42</c:f>
              <c:strCache>
                <c:ptCount val="1"/>
                <c:pt idx="0">
                  <c:v>NH3</c:v>
                </c:pt>
              </c:strCache>
            </c:strRef>
          </c:tx>
          <c:spPr>
            <a:solidFill>
              <a:schemeClr val="accent1"/>
            </a:solidFill>
          </c:spPr>
          <c:cat>
            <c:multiLvlStrRef>
              <c:f>SUMMARY!$AY$43:$AZ$143</c:f>
              <c:multiLvlStrCache>
                <c:ptCount val="101"/>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pt idx="66">
                    <c:v>CV</c:v>
                  </c:pt>
                  <c:pt idx="67">
                    <c:v>HEV</c:v>
                  </c:pt>
                  <c:pt idx="68">
                    <c:v>PHEV20</c:v>
                  </c:pt>
                  <c:pt idx="69">
                    <c:v>PHEV60</c:v>
                  </c:pt>
                  <c:pt idx="70">
                    <c:v>BEV240</c:v>
                  </c:pt>
                  <c:pt idx="72">
                    <c:v>CV</c:v>
                  </c:pt>
                  <c:pt idx="73">
                    <c:v>HEV</c:v>
                  </c:pt>
                  <c:pt idx="74">
                    <c:v>PHEV20</c:v>
                  </c:pt>
                  <c:pt idx="75">
                    <c:v>PHEV60</c:v>
                  </c:pt>
                  <c:pt idx="76">
                    <c:v>BEV240</c:v>
                  </c:pt>
                  <c:pt idx="78">
                    <c:v>CV</c:v>
                  </c:pt>
                  <c:pt idx="79">
                    <c:v>HEV</c:v>
                  </c:pt>
                  <c:pt idx="80">
                    <c:v>PHEV20</c:v>
                  </c:pt>
                  <c:pt idx="81">
                    <c:v>PHEV60</c:v>
                  </c:pt>
                  <c:pt idx="82">
                    <c:v>BEV240</c:v>
                  </c:pt>
                  <c:pt idx="84">
                    <c:v>CV</c:v>
                  </c:pt>
                  <c:pt idx="85">
                    <c:v>HEV</c:v>
                  </c:pt>
                  <c:pt idx="86">
                    <c:v>PHEV20</c:v>
                  </c:pt>
                  <c:pt idx="87">
                    <c:v>PHEV60</c:v>
                  </c:pt>
                  <c:pt idx="88">
                    <c:v>BEV240</c:v>
                  </c:pt>
                  <c:pt idx="90">
                    <c:v>CV</c:v>
                  </c:pt>
                  <c:pt idx="91">
                    <c:v>HEV</c:v>
                  </c:pt>
                  <c:pt idx="92">
                    <c:v>PHEV20</c:v>
                  </c:pt>
                  <c:pt idx="93">
                    <c:v>PHEV60</c:v>
                  </c:pt>
                  <c:pt idx="94">
                    <c:v>BEV240</c:v>
                  </c:pt>
                  <c:pt idx="96">
                    <c:v>CV</c:v>
                  </c:pt>
                  <c:pt idx="97">
                    <c:v>HEV</c:v>
                  </c:pt>
                  <c:pt idx="98">
                    <c:v>PHEV20</c:v>
                  </c:pt>
                  <c:pt idx="99">
                    <c:v>PHEV60</c:v>
                  </c:pt>
                  <c:pt idx="100">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pt idx="53">
                    <c:v> </c:v>
                  </c:pt>
                  <c:pt idx="54">
                    <c:v>Vehicle Data
Cases</c:v>
                  </c:pt>
                  <c:pt idx="59">
                    <c:v> </c:v>
                  </c:pt>
                  <c:pt idx="60">
                    <c:v>Li-ion Battery
Life Cases</c:v>
                  </c:pt>
                  <c:pt idx="65">
                    <c:v> </c:v>
                  </c:pt>
                  <c:pt idx="66">
                    <c:v>Driving Location Cases</c:v>
                  </c:pt>
                  <c:pt idx="71">
                    <c:v> </c:v>
                  </c:pt>
                  <c:pt idx="72">
                    <c:v>GHG Value
Cases</c:v>
                  </c:pt>
                  <c:pt idx="77">
                    <c:v> </c:v>
                  </c:pt>
                  <c:pt idx="78">
                    <c:v>Oil Disruption
Cases</c:v>
                  </c:pt>
                  <c:pt idx="83">
                    <c:v> </c:v>
                  </c:pt>
                  <c:pt idx="84">
                    <c:v>Oil Monopsony
Cases</c:v>
                  </c:pt>
                  <c:pt idx="89">
                    <c:v> </c:v>
                  </c:pt>
                  <c:pt idx="90">
                    <c:v>Oil Military
Cases</c:v>
                  </c:pt>
                  <c:pt idx="95">
                    <c:v> </c:v>
                  </c:pt>
                  <c:pt idx="96">
                    <c:v>Discount 
Rate Cases</c:v>
                  </c:pt>
                </c:lvl>
              </c:multiLvlStrCache>
            </c:multiLvlStrRef>
          </c:cat>
          <c:val>
            <c:numRef>
              <c:f>SUMMARY!$BF$43:$BF$143</c:f>
              <c:numCache>
                <c:formatCode>"$"#,##0</c:formatCode>
                <c:ptCount val="101"/>
                <c:pt idx="0">
                  <c:v>0</c:v>
                </c:pt>
                <c:pt idx="1">
                  <c:v>0</c:v>
                </c:pt>
                <c:pt idx="2">
                  <c:v>0</c:v>
                </c:pt>
                <c:pt idx="3">
                  <c:v>0</c:v>
                </c:pt>
                <c:pt idx="4">
                  <c:v>0</c:v>
                </c:pt>
              </c:numCache>
            </c:numRef>
          </c:val>
        </c:ser>
        <c:ser>
          <c:idx val="6"/>
          <c:order val="6"/>
          <c:tx>
            <c:strRef>
              <c:f>SUMMARY!$BG$42</c:f>
              <c:strCache>
                <c:ptCount val="1"/>
                <c:pt idx="0">
                  <c:v>NOx</c:v>
                </c:pt>
              </c:strCache>
            </c:strRef>
          </c:tx>
          <c:spPr>
            <a:solidFill>
              <a:schemeClr val="accent6"/>
            </a:solidFill>
          </c:spPr>
          <c:cat>
            <c:multiLvlStrRef>
              <c:f>SUMMARY!$AY$43:$AZ$143</c:f>
              <c:multiLvlStrCache>
                <c:ptCount val="101"/>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pt idx="66">
                    <c:v>CV</c:v>
                  </c:pt>
                  <c:pt idx="67">
                    <c:v>HEV</c:v>
                  </c:pt>
                  <c:pt idx="68">
                    <c:v>PHEV20</c:v>
                  </c:pt>
                  <c:pt idx="69">
                    <c:v>PHEV60</c:v>
                  </c:pt>
                  <c:pt idx="70">
                    <c:v>BEV240</c:v>
                  </c:pt>
                  <c:pt idx="72">
                    <c:v>CV</c:v>
                  </c:pt>
                  <c:pt idx="73">
                    <c:v>HEV</c:v>
                  </c:pt>
                  <c:pt idx="74">
                    <c:v>PHEV20</c:v>
                  </c:pt>
                  <c:pt idx="75">
                    <c:v>PHEV60</c:v>
                  </c:pt>
                  <c:pt idx="76">
                    <c:v>BEV240</c:v>
                  </c:pt>
                  <c:pt idx="78">
                    <c:v>CV</c:v>
                  </c:pt>
                  <c:pt idx="79">
                    <c:v>HEV</c:v>
                  </c:pt>
                  <c:pt idx="80">
                    <c:v>PHEV20</c:v>
                  </c:pt>
                  <c:pt idx="81">
                    <c:v>PHEV60</c:v>
                  </c:pt>
                  <c:pt idx="82">
                    <c:v>BEV240</c:v>
                  </c:pt>
                  <c:pt idx="84">
                    <c:v>CV</c:v>
                  </c:pt>
                  <c:pt idx="85">
                    <c:v>HEV</c:v>
                  </c:pt>
                  <c:pt idx="86">
                    <c:v>PHEV20</c:v>
                  </c:pt>
                  <c:pt idx="87">
                    <c:v>PHEV60</c:v>
                  </c:pt>
                  <c:pt idx="88">
                    <c:v>BEV240</c:v>
                  </c:pt>
                  <c:pt idx="90">
                    <c:v>CV</c:v>
                  </c:pt>
                  <c:pt idx="91">
                    <c:v>HEV</c:v>
                  </c:pt>
                  <c:pt idx="92">
                    <c:v>PHEV20</c:v>
                  </c:pt>
                  <c:pt idx="93">
                    <c:v>PHEV60</c:v>
                  </c:pt>
                  <c:pt idx="94">
                    <c:v>BEV240</c:v>
                  </c:pt>
                  <c:pt idx="96">
                    <c:v>CV</c:v>
                  </c:pt>
                  <c:pt idx="97">
                    <c:v>HEV</c:v>
                  </c:pt>
                  <c:pt idx="98">
                    <c:v>PHEV20</c:v>
                  </c:pt>
                  <c:pt idx="99">
                    <c:v>PHEV60</c:v>
                  </c:pt>
                  <c:pt idx="100">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pt idx="53">
                    <c:v> </c:v>
                  </c:pt>
                  <c:pt idx="54">
                    <c:v>Vehicle Data
Cases</c:v>
                  </c:pt>
                  <c:pt idx="59">
                    <c:v> </c:v>
                  </c:pt>
                  <c:pt idx="60">
                    <c:v>Li-ion Battery
Life Cases</c:v>
                  </c:pt>
                  <c:pt idx="65">
                    <c:v> </c:v>
                  </c:pt>
                  <c:pt idx="66">
                    <c:v>Driving Location Cases</c:v>
                  </c:pt>
                  <c:pt idx="71">
                    <c:v> </c:v>
                  </c:pt>
                  <c:pt idx="72">
                    <c:v>GHG Value
Cases</c:v>
                  </c:pt>
                  <c:pt idx="77">
                    <c:v> </c:v>
                  </c:pt>
                  <c:pt idx="78">
                    <c:v>Oil Disruption
Cases</c:v>
                  </c:pt>
                  <c:pt idx="83">
                    <c:v> </c:v>
                  </c:pt>
                  <c:pt idx="84">
                    <c:v>Oil Monopsony
Cases</c:v>
                  </c:pt>
                  <c:pt idx="89">
                    <c:v> </c:v>
                  </c:pt>
                  <c:pt idx="90">
                    <c:v>Oil Military
Cases</c:v>
                  </c:pt>
                  <c:pt idx="95">
                    <c:v> </c:v>
                  </c:pt>
                  <c:pt idx="96">
                    <c:v>Discount 
Rate Cases</c:v>
                  </c:pt>
                </c:lvl>
              </c:multiLvlStrCache>
            </c:multiLvlStrRef>
          </c:cat>
          <c:val>
            <c:numRef>
              <c:f>SUMMARY!$BG$43:$BG$143</c:f>
              <c:numCache>
                <c:formatCode>"$"#,##0</c:formatCode>
                <c:ptCount val="101"/>
                <c:pt idx="0">
                  <c:v>104.13165470467408</c:v>
                </c:pt>
                <c:pt idx="1">
                  <c:v>85.056093960905713</c:v>
                </c:pt>
                <c:pt idx="2">
                  <c:v>82.644555338322789</c:v>
                </c:pt>
                <c:pt idx="3">
                  <c:v>99.170110306203711</c:v>
                </c:pt>
                <c:pt idx="4">
                  <c:v>128.73367902891709</c:v>
                </c:pt>
              </c:numCache>
            </c:numRef>
          </c:val>
        </c:ser>
        <c:ser>
          <c:idx val="7"/>
          <c:order val="7"/>
          <c:tx>
            <c:strRef>
              <c:f>SUMMARY!$BH$42</c:f>
              <c:strCache>
                <c:ptCount val="1"/>
                <c:pt idx="0">
                  <c:v>PM10</c:v>
                </c:pt>
              </c:strCache>
            </c:strRef>
          </c:tx>
          <c:spPr>
            <a:solidFill>
              <a:schemeClr val="accent4">
                <a:lumMod val="40000"/>
                <a:lumOff val="60000"/>
              </a:schemeClr>
            </a:solidFill>
          </c:spPr>
          <c:cat>
            <c:multiLvlStrRef>
              <c:f>SUMMARY!$AY$43:$AZ$143</c:f>
              <c:multiLvlStrCache>
                <c:ptCount val="101"/>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pt idx="66">
                    <c:v>CV</c:v>
                  </c:pt>
                  <c:pt idx="67">
                    <c:v>HEV</c:v>
                  </c:pt>
                  <c:pt idx="68">
                    <c:v>PHEV20</c:v>
                  </c:pt>
                  <c:pt idx="69">
                    <c:v>PHEV60</c:v>
                  </c:pt>
                  <c:pt idx="70">
                    <c:v>BEV240</c:v>
                  </c:pt>
                  <c:pt idx="72">
                    <c:v>CV</c:v>
                  </c:pt>
                  <c:pt idx="73">
                    <c:v>HEV</c:v>
                  </c:pt>
                  <c:pt idx="74">
                    <c:v>PHEV20</c:v>
                  </c:pt>
                  <c:pt idx="75">
                    <c:v>PHEV60</c:v>
                  </c:pt>
                  <c:pt idx="76">
                    <c:v>BEV240</c:v>
                  </c:pt>
                  <c:pt idx="78">
                    <c:v>CV</c:v>
                  </c:pt>
                  <c:pt idx="79">
                    <c:v>HEV</c:v>
                  </c:pt>
                  <c:pt idx="80">
                    <c:v>PHEV20</c:v>
                  </c:pt>
                  <c:pt idx="81">
                    <c:v>PHEV60</c:v>
                  </c:pt>
                  <c:pt idx="82">
                    <c:v>BEV240</c:v>
                  </c:pt>
                  <c:pt idx="84">
                    <c:v>CV</c:v>
                  </c:pt>
                  <c:pt idx="85">
                    <c:v>HEV</c:v>
                  </c:pt>
                  <c:pt idx="86">
                    <c:v>PHEV20</c:v>
                  </c:pt>
                  <c:pt idx="87">
                    <c:v>PHEV60</c:v>
                  </c:pt>
                  <c:pt idx="88">
                    <c:v>BEV240</c:v>
                  </c:pt>
                  <c:pt idx="90">
                    <c:v>CV</c:v>
                  </c:pt>
                  <c:pt idx="91">
                    <c:v>HEV</c:v>
                  </c:pt>
                  <c:pt idx="92">
                    <c:v>PHEV20</c:v>
                  </c:pt>
                  <c:pt idx="93">
                    <c:v>PHEV60</c:v>
                  </c:pt>
                  <c:pt idx="94">
                    <c:v>BEV240</c:v>
                  </c:pt>
                  <c:pt idx="96">
                    <c:v>CV</c:v>
                  </c:pt>
                  <c:pt idx="97">
                    <c:v>HEV</c:v>
                  </c:pt>
                  <c:pt idx="98">
                    <c:v>PHEV20</c:v>
                  </c:pt>
                  <c:pt idx="99">
                    <c:v>PHEV60</c:v>
                  </c:pt>
                  <c:pt idx="100">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pt idx="53">
                    <c:v> </c:v>
                  </c:pt>
                  <c:pt idx="54">
                    <c:v>Vehicle Data
Cases</c:v>
                  </c:pt>
                  <c:pt idx="59">
                    <c:v> </c:v>
                  </c:pt>
                  <c:pt idx="60">
                    <c:v>Li-ion Battery
Life Cases</c:v>
                  </c:pt>
                  <c:pt idx="65">
                    <c:v> </c:v>
                  </c:pt>
                  <c:pt idx="66">
                    <c:v>Driving Location Cases</c:v>
                  </c:pt>
                  <c:pt idx="71">
                    <c:v> </c:v>
                  </c:pt>
                  <c:pt idx="72">
                    <c:v>GHG Value
Cases</c:v>
                  </c:pt>
                  <c:pt idx="77">
                    <c:v> </c:v>
                  </c:pt>
                  <c:pt idx="78">
                    <c:v>Oil Disruption
Cases</c:v>
                  </c:pt>
                  <c:pt idx="83">
                    <c:v> </c:v>
                  </c:pt>
                  <c:pt idx="84">
                    <c:v>Oil Monopsony
Cases</c:v>
                  </c:pt>
                  <c:pt idx="89">
                    <c:v> </c:v>
                  </c:pt>
                  <c:pt idx="90">
                    <c:v>Oil Military
Cases</c:v>
                  </c:pt>
                  <c:pt idx="95">
                    <c:v> </c:v>
                  </c:pt>
                  <c:pt idx="96">
                    <c:v>Discount 
Rate Cases</c:v>
                  </c:pt>
                </c:lvl>
              </c:multiLvlStrCache>
            </c:multiLvlStrRef>
          </c:cat>
          <c:val>
            <c:numRef>
              <c:f>SUMMARY!$BH$43:$BH$143</c:f>
              <c:numCache>
                <c:formatCode>"$"#,##0</c:formatCode>
                <c:ptCount val="101"/>
                <c:pt idx="0">
                  <c:v>109.0601833311037</c:v>
                </c:pt>
                <c:pt idx="1">
                  <c:v>99.240449074941608</c:v>
                </c:pt>
                <c:pt idx="2">
                  <c:v>101.48096887821208</c:v>
                </c:pt>
                <c:pt idx="3">
                  <c:v>122.77531596720763</c:v>
                </c:pt>
                <c:pt idx="4">
                  <c:v>199.86763473738299</c:v>
                </c:pt>
              </c:numCache>
            </c:numRef>
          </c:val>
        </c:ser>
        <c:ser>
          <c:idx val="8"/>
          <c:order val="8"/>
          <c:tx>
            <c:strRef>
              <c:f>SUMMARY!$BI$42</c:f>
              <c:strCache>
                <c:ptCount val="1"/>
                <c:pt idx="0">
                  <c:v>PM2.5</c:v>
                </c:pt>
              </c:strCache>
            </c:strRef>
          </c:tx>
          <c:spPr>
            <a:solidFill>
              <a:schemeClr val="accent4">
                <a:lumMod val="75000"/>
              </a:schemeClr>
            </a:solidFill>
          </c:spPr>
          <c:cat>
            <c:multiLvlStrRef>
              <c:f>SUMMARY!$AY$43:$AZ$143</c:f>
              <c:multiLvlStrCache>
                <c:ptCount val="101"/>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pt idx="66">
                    <c:v>CV</c:v>
                  </c:pt>
                  <c:pt idx="67">
                    <c:v>HEV</c:v>
                  </c:pt>
                  <c:pt idx="68">
                    <c:v>PHEV20</c:v>
                  </c:pt>
                  <c:pt idx="69">
                    <c:v>PHEV60</c:v>
                  </c:pt>
                  <c:pt idx="70">
                    <c:v>BEV240</c:v>
                  </c:pt>
                  <c:pt idx="72">
                    <c:v>CV</c:v>
                  </c:pt>
                  <c:pt idx="73">
                    <c:v>HEV</c:v>
                  </c:pt>
                  <c:pt idx="74">
                    <c:v>PHEV20</c:v>
                  </c:pt>
                  <c:pt idx="75">
                    <c:v>PHEV60</c:v>
                  </c:pt>
                  <c:pt idx="76">
                    <c:v>BEV240</c:v>
                  </c:pt>
                  <c:pt idx="78">
                    <c:v>CV</c:v>
                  </c:pt>
                  <c:pt idx="79">
                    <c:v>HEV</c:v>
                  </c:pt>
                  <c:pt idx="80">
                    <c:v>PHEV20</c:v>
                  </c:pt>
                  <c:pt idx="81">
                    <c:v>PHEV60</c:v>
                  </c:pt>
                  <c:pt idx="82">
                    <c:v>BEV240</c:v>
                  </c:pt>
                  <c:pt idx="84">
                    <c:v>CV</c:v>
                  </c:pt>
                  <c:pt idx="85">
                    <c:v>HEV</c:v>
                  </c:pt>
                  <c:pt idx="86">
                    <c:v>PHEV20</c:v>
                  </c:pt>
                  <c:pt idx="87">
                    <c:v>PHEV60</c:v>
                  </c:pt>
                  <c:pt idx="88">
                    <c:v>BEV240</c:v>
                  </c:pt>
                  <c:pt idx="90">
                    <c:v>CV</c:v>
                  </c:pt>
                  <c:pt idx="91">
                    <c:v>HEV</c:v>
                  </c:pt>
                  <c:pt idx="92">
                    <c:v>PHEV20</c:v>
                  </c:pt>
                  <c:pt idx="93">
                    <c:v>PHEV60</c:v>
                  </c:pt>
                  <c:pt idx="94">
                    <c:v>BEV240</c:v>
                  </c:pt>
                  <c:pt idx="96">
                    <c:v>CV</c:v>
                  </c:pt>
                  <c:pt idx="97">
                    <c:v>HEV</c:v>
                  </c:pt>
                  <c:pt idx="98">
                    <c:v>PHEV20</c:v>
                  </c:pt>
                  <c:pt idx="99">
                    <c:v>PHEV60</c:v>
                  </c:pt>
                  <c:pt idx="100">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pt idx="53">
                    <c:v> </c:v>
                  </c:pt>
                  <c:pt idx="54">
                    <c:v>Vehicle Data
Cases</c:v>
                  </c:pt>
                  <c:pt idx="59">
                    <c:v> </c:v>
                  </c:pt>
                  <c:pt idx="60">
                    <c:v>Li-ion Battery
Life Cases</c:v>
                  </c:pt>
                  <c:pt idx="65">
                    <c:v> </c:v>
                  </c:pt>
                  <c:pt idx="66">
                    <c:v>Driving Location Cases</c:v>
                  </c:pt>
                  <c:pt idx="71">
                    <c:v> </c:v>
                  </c:pt>
                  <c:pt idx="72">
                    <c:v>GHG Value
Cases</c:v>
                  </c:pt>
                  <c:pt idx="77">
                    <c:v> </c:v>
                  </c:pt>
                  <c:pt idx="78">
                    <c:v>Oil Disruption
Cases</c:v>
                  </c:pt>
                  <c:pt idx="83">
                    <c:v> </c:v>
                  </c:pt>
                  <c:pt idx="84">
                    <c:v>Oil Monopsony
Cases</c:v>
                  </c:pt>
                  <c:pt idx="89">
                    <c:v> </c:v>
                  </c:pt>
                  <c:pt idx="90">
                    <c:v>Oil Military
Cases</c:v>
                  </c:pt>
                  <c:pt idx="95">
                    <c:v> </c:v>
                  </c:pt>
                  <c:pt idx="96">
                    <c:v>Discount 
Rate Cases</c:v>
                  </c:pt>
                </c:lvl>
              </c:multiLvlStrCache>
            </c:multiLvlStrRef>
          </c:cat>
          <c:val>
            <c:numRef>
              <c:f>SUMMARY!$BI$43:$BI$143</c:f>
              <c:numCache>
                <c:formatCode>"$"#,##0</c:formatCode>
                <c:ptCount val="101"/>
                <c:pt idx="0">
                  <c:v>327.17935195742109</c:v>
                </c:pt>
                <c:pt idx="1">
                  <c:v>296.12031154674804</c:v>
                </c:pt>
                <c:pt idx="2">
                  <c:v>291.66818921652788</c:v>
                </c:pt>
                <c:pt idx="3">
                  <c:v>333.46407461874128</c:v>
                </c:pt>
                <c:pt idx="4">
                  <c:v>475.91261374108592</c:v>
                </c:pt>
              </c:numCache>
            </c:numRef>
          </c:val>
        </c:ser>
        <c:ser>
          <c:idx val="9"/>
          <c:order val="9"/>
          <c:tx>
            <c:strRef>
              <c:f>SUMMARY!$BJ$42</c:f>
              <c:strCache>
                <c:ptCount val="1"/>
                <c:pt idx="0">
                  <c:v>SO2</c:v>
                </c:pt>
              </c:strCache>
            </c:strRef>
          </c:tx>
          <c:spPr>
            <a:solidFill>
              <a:srgbClr val="CCCC00"/>
            </a:solidFill>
          </c:spPr>
          <c:cat>
            <c:multiLvlStrRef>
              <c:f>SUMMARY!$AY$43:$AZ$143</c:f>
              <c:multiLvlStrCache>
                <c:ptCount val="101"/>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pt idx="66">
                    <c:v>CV</c:v>
                  </c:pt>
                  <c:pt idx="67">
                    <c:v>HEV</c:v>
                  </c:pt>
                  <c:pt idx="68">
                    <c:v>PHEV20</c:v>
                  </c:pt>
                  <c:pt idx="69">
                    <c:v>PHEV60</c:v>
                  </c:pt>
                  <c:pt idx="70">
                    <c:v>BEV240</c:v>
                  </c:pt>
                  <c:pt idx="72">
                    <c:v>CV</c:v>
                  </c:pt>
                  <c:pt idx="73">
                    <c:v>HEV</c:v>
                  </c:pt>
                  <c:pt idx="74">
                    <c:v>PHEV20</c:v>
                  </c:pt>
                  <c:pt idx="75">
                    <c:v>PHEV60</c:v>
                  </c:pt>
                  <c:pt idx="76">
                    <c:v>BEV240</c:v>
                  </c:pt>
                  <c:pt idx="78">
                    <c:v>CV</c:v>
                  </c:pt>
                  <c:pt idx="79">
                    <c:v>HEV</c:v>
                  </c:pt>
                  <c:pt idx="80">
                    <c:v>PHEV20</c:v>
                  </c:pt>
                  <c:pt idx="81">
                    <c:v>PHEV60</c:v>
                  </c:pt>
                  <c:pt idx="82">
                    <c:v>BEV240</c:v>
                  </c:pt>
                  <c:pt idx="84">
                    <c:v>CV</c:v>
                  </c:pt>
                  <c:pt idx="85">
                    <c:v>HEV</c:v>
                  </c:pt>
                  <c:pt idx="86">
                    <c:v>PHEV20</c:v>
                  </c:pt>
                  <c:pt idx="87">
                    <c:v>PHEV60</c:v>
                  </c:pt>
                  <c:pt idx="88">
                    <c:v>BEV240</c:v>
                  </c:pt>
                  <c:pt idx="90">
                    <c:v>CV</c:v>
                  </c:pt>
                  <c:pt idx="91">
                    <c:v>HEV</c:v>
                  </c:pt>
                  <c:pt idx="92">
                    <c:v>PHEV20</c:v>
                  </c:pt>
                  <c:pt idx="93">
                    <c:v>PHEV60</c:v>
                  </c:pt>
                  <c:pt idx="94">
                    <c:v>BEV240</c:v>
                  </c:pt>
                  <c:pt idx="96">
                    <c:v>CV</c:v>
                  </c:pt>
                  <c:pt idx="97">
                    <c:v>HEV</c:v>
                  </c:pt>
                  <c:pt idx="98">
                    <c:v>PHEV20</c:v>
                  </c:pt>
                  <c:pt idx="99">
                    <c:v>PHEV60</c:v>
                  </c:pt>
                  <c:pt idx="100">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pt idx="53">
                    <c:v> </c:v>
                  </c:pt>
                  <c:pt idx="54">
                    <c:v>Vehicle Data
Cases</c:v>
                  </c:pt>
                  <c:pt idx="59">
                    <c:v> </c:v>
                  </c:pt>
                  <c:pt idx="60">
                    <c:v>Li-ion Battery
Life Cases</c:v>
                  </c:pt>
                  <c:pt idx="65">
                    <c:v> </c:v>
                  </c:pt>
                  <c:pt idx="66">
                    <c:v>Driving Location Cases</c:v>
                  </c:pt>
                  <c:pt idx="71">
                    <c:v> </c:v>
                  </c:pt>
                  <c:pt idx="72">
                    <c:v>GHG Value
Cases</c:v>
                  </c:pt>
                  <c:pt idx="77">
                    <c:v> </c:v>
                  </c:pt>
                  <c:pt idx="78">
                    <c:v>Oil Disruption
Cases</c:v>
                  </c:pt>
                  <c:pt idx="83">
                    <c:v> </c:v>
                  </c:pt>
                  <c:pt idx="84">
                    <c:v>Oil Monopsony
Cases</c:v>
                  </c:pt>
                  <c:pt idx="89">
                    <c:v> </c:v>
                  </c:pt>
                  <c:pt idx="90">
                    <c:v>Oil Military
Cases</c:v>
                  </c:pt>
                  <c:pt idx="95">
                    <c:v> </c:v>
                  </c:pt>
                  <c:pt idx="96">
                    <c:v>Discount 
Rate Cases</c:v>
                  </c:pt>
                </c:lvl>
              </c:multiLvlStrCache>
            </c:multiLvlStrRef>
          </c:cat>
          <c:val>
            <c:numRef>
              <c:f>SUMMARY!$BJ$43:$BJ$143</c:f>
              <c:numCache>
                <c:formatCode>"$"#,##0</c:formatCode>
                <c:ptCount val="101"/>
                <c:pt idx="0">
                  <c:v>412.88420411262837</c:v>
                </c:pt>
                <c:pt idx="1">
                  <c:v>485.95540241708989</c:v>
                </c:pt>
                <c:pt idx="2">
                  <c:v>556.99015577880436</c:v>
                </c:pt>
                <c:pt idx="3">
                  <c:v>895.9992717436171</c:v>
                </c:pt>
                <c:pt idx="4">
                  <c:v>1938.8143695072956</c:v>
                </c:pt>
              </c:numCache>
            </c:numRef>
          </c:val>
        </c:ser>
        <c:ser>
          <c:idx val="10"/>
          <c:order val="10"/>
          <c:tx>
            <c:strRef>
              <c:f>SUMMARY!$BK$42</c:f>
              <c:strCache>
                <c:ptCount val="1"/>
                <c:pt idx="0">
                  <c:v>VOC</c:v>
                </c:pt>
              </c:strCache>
            </c:strRef>
          </c:tx>
          <c:spPr>
            <a:solidFill>
              <a:schemeClr val="accent5">
                <a:lumMod val="40000"/>
                <a:lumOff val="60000"/>
              </a:schemeClr>
            </a:solidFill>
          </c:spPr>
          <c:cat>
            <c:multiLvlStrRef>
              <c:f>SUMMARY!$AY$43:$AZ$143</c:f>
              <c:multiLvlStrCache>
                <c:ptCount val="101"/>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pt idx="66">
                    <c:v>CV</c:v>
                  </c:pt>
                  <c:pt idx="67">
                    <c:v>HEV</c:v>
                  </c:pt>
                  <c:pt idx="68">
                    <c:v>PHEV20</c:v>
                  </c:pt>
                  <c:pt idx="69">
                    <c:v>PHEV60</c:v>
                  </c:pt>
                  <c:pt idx="70">
                    <c:v>BEV240</c:v>
                  </c:pt>
                  <c:pt idx="72">
                    <c:v>CV</c:v>
                  </c:pt>
                  <c:pt idx="73">
                    <c:v>HEV</c:v>
                  </c:pt>
                  <c:pt idx="74">
                    <c:v>PHEV20</c:v>
                  </c:pt>
                  <c:pt idx="75">
                    <c:v>PHEV60</c:v>
                  </c:pt>
                  <c:pt idx="76">
                    <c:v>BEV240</c:v>
                  </c:pt>
                  <c:pt idx="78">
                    <c:v>CV</c:v>
                  </c:pt>
                  <c:pt idx="79">
                    <c:v>HEV</c:v>
                  </c:pt>
                  <c:pt idx="80">
                    <c:v>PHEV20</c:v>
                  </c:pt>
                  <c:pt idx="81">
                    <c:v>PHEV60</c:v>
                  </c:pt>
                  <c:pt idx="82">
                    <c:v>BEV240</c:v>
                  </c:pt>
                  <c:pt idx="84">
                    <c:v>CV</c:v>
                  </c:pt>
                  <c:pt idx="85">
                    <c:v>HEV</c:v>
                  </c:pt>
                  <c:pt idx="86">
                    <c:v>PHEV20</c:v>
                  </c:pt>
                  <c:pt idx="87">
                    <c:v>PHEV60</c:v>
                  </c:pt>
                  <c:pt idx="88">
                    <c:v>BEV240</c:v>
                  </c:pt>
                  <c:pt idx="90">
                    <c:v>CV</c:v>
                  </c:pt>
                  <c:pt idx="91">
                    <c:v>HEV</c:v>
                  </c:pt>
                  <c:pt idx="92">
                    <c:v>PHEV20</c:v>
                  </c:pt>
                  <c:pt idx="93">
                    <c:v>PHEV60</c:v>
                  </c:pt>
                  <c:pt idx="94">
                    <c:v>BEV240</c:v>
                  </c:pt>
                  <c:pt idx="96">
                    <c:v>CV</c:v>
                  </c:pt>
                  <c:pt idx="97">
                    <c:v>HEV</c:v>
                  </c:pt>
                  <c:pt idx="98">
                    <c:v>PHEV20</c:v>
                  </c:pt>
                  <c:pt idx="99">
                    <c:v>PHEV60</c:v>
                  </c:pt>
                  <c:pt idx="100">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pt idx="53">
                    <c:v> </c:v>
                  </c:pt>
                  <c:pt idx="54">
                    <c:v>Vehicle Data
Cases</c:v>
                  </c:pt>
                  <c:pt idx="59">
                    <c:v> </c:v>
                  </c:pt>
                  <c:pt idx="60">
                    <c:v>Li-ion Battery
Life Cases</c:v>
                  </c:pt>
                  <c:pt idx="65">
                    <c:v> </c:v>
                  </c:pt>
                  <c:pt idx="66">
                    <c:v>Driving Location Cases</c:v>
                  </c:pt>
                  <c:pt idx="71">
                    <c:v> </c:v>
                  </c:pt>
                  <c:pt idx="72">
                    <c:v>GHG Value
Cases</c:v>
                  </c:pt>
                  <c:pt idx="77">
                    <c:v> </c:v>
                  </c:pt>
                  <c:pt idx="78">
                    <c:v>Oil Disruption
Cases</c:v>
                  </c:pt>
                  <c:pt idx="83">
                    <c:v> </c:v>
                  </c:pt>
                  <c:pt idx="84">
                    <c:v>Oil Monopsony
Cases</c:v>
                  </c:pt>
                  <c:pt idx="89">
                    <c:v> </c:v>
                  </c:pt>
                  <c:pt idx="90">
                    <c:v>Oil Military
Cases</c:v>
                  </c:pt>
                  <c:pt idx="95">
                    <c:v> </c:v>
                  </c:pt>
                  <c:pt idx="96">
                    <c:v>Discount 
Rate Cases</c:v>
                  </c:pt>
                </c:lvl>
              </c:multiLvlStrCache>
            </c:multiLvlStrRef>
          </c:cat>
          <c:val>
            <c:numRef>
              <c:f>SUMMARY!$BK$43:$BK$143</c:f>
              <c:numCache>
                <c:formatCode>"$"#,##0</c:formatCode>
                <c:ptCount val="101"/>
                <c:pt idx="0">
                  <c:v>227.045243863363</c:v>
                </c:pt>
                <c:pt idx="1">
                  <c:v>183.48724632642646</c:v>
                </c:pt>
                <c:pt idx="2">
                  <c:v>157.06115570665324</c:v>
                </c:pt>
                <c:pt idx="3">
                  <c:v>141.14460618054966</c:v>
                </c:pt>
                <c:pt idx="4">
                  <c:v>82.475839194839338</c:v>
                </c:pt>
              </c:numCache>
            </c:numRef>
          </c:val>
        </c:ser>
        <c:ser>
          <c:idx val="11"/>
          <c:order val="11"/>
          <c:tx>
            <c:strRef>
              <c:f>SUMMARY!$BL$42</c:f>
              <c:strCache>
                <c:ptCount val="1"/>
                <c:pt idx="0">
                  <c:v>Disruption</c:v>
                </c:pt>
              </c:strCache>
            </c:strRef>
          </c:tx>
          <c:spPr>
            <a:solidFill>
              <a:schemeClr val="tx1">
                <a:lumMod val="75000"/>
                <a:lumOff val="25000"/>
              </a:schemeClr>
            </a:solidFill>
          </c:spPr>
          <c:cat>
            <c:multiLvlStrRef>
              <c:f>SUMMARY!$AY$43:$AZ$143</c:f>
              <c:multiLvlStrCache>
                <c:ptCount val="101"/>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pt idx="66">
                    <c:v>CV</c:v>
                  </c:pt>
                  <c:pt idx="67">
                    <c:v>HEV</c:v>
                  </c:pt>
                  <c:pt idx="68">
                    <c:v>PHEV20</c:v>
                  </c:pt>
                  <c:pt idx="69">
                    <c:v>PHEV60</c:v>
                  </c:pt>
                  <c:pt idx="70">
                    <c:v>BEV240</c:v>
                  </c:pt>
                  <c:pt idx="72">
                    <c:v>CV</c:v>
                  </c:pt>
                  <c:pt idx="73">
                    <c:v>HEV</c:v>
                  </c:pt>
                  <c:pt idx="74">
                    <c:v>PHEV20</c:v>
                  </c:pt>
                  <c:pt idx="75">
                    <c:v>PHEV60</c:v>
                  </c:pt>
                  <c:pt idx="76">
                    <c:v>BEV240</c:v>
                  </c:pt>
                  <c:pt idx="78">
                    <c:v>CV</c:v>
                  </c:pt>
                  <c:pt idx="79">
                    <c:v>HEV</c:v>
                  </c:pt>
                  <c:pt idx="80">
                    <c:v>PHEV20</c:v>
                  </c:pt>
                  <c:pt idx="81">
                    <c:v>PHEV60</c:v>
                  </c:pt>
                  <c:pt idx="82">
                    <c:v>BEV240</c:v>
                  </c:pt>
                  <c:pt idx="84">
                    <c:v>CV</c:v>
                  </c:pt>
                  <c:pt idx="85">
                    <c:v>HEV</c:v>
                  </c:pt>
                  <c:pt idx="86">
                    <c:v>PHEV20</c:v>
                  </c:pt>
                  <c:pt idx="87">
                    <c:v>PHEV60</c:v>
                  </c:pt>
                  <c:pt idx="88">
                    <c:v>BEV240</c:v>
                  </c:pt>
                  <c:pt idx="90">
                    <c:v>CV</c:v>
                  </c:pt>
                  <c:pt idx="91">
                    <c:v>HEV</c:v>
                  </c:pt>
                  <c:pt idx="92">
                    <c:v>PHEV20</c:v>
                  </c:pt>
                  <c:pt idx="93">
                    <c:v>PHEV60</c:v>
                  </c:pt>
                  <c:pt idx="94">
                    <c:v>BEV240</c:v>
                  </c:pt>
                  <c:pt idx="96">
                    <c:v>CV</c:v>
                  </c:pt>
                  <c:pt idx="97">
                    <c:v>HEV</c:v>
                  </c:pt>
                  <c:pt idx="98">
                    <c:v>PHEV20</c:v>
                  </c:pt>
                  <c:pt idx="99">
                    <c:v>PHEV60</c:v>
                  </c:pt>
                  <c:pt idx="100">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pt idx="53">
                    <c:v> </c:v>
                  </c:pt>
                  <c:pt idx="54">
                    <c:v>Vehicle Data
Cases</c:v>
                  </c:pt>
                  <c:pt idx="59">
                    <c:v> </c:v>
                  </c:pt>
                  <c:pt idx="60">
                    <c:v>Li-ion Battery
Life Cases</c:v>
                  </c:pt>
                  <c:pt idx="65">
                    <c:v> </c:v>
                  </c:pt>
                  <c:pt idx="66">
                    <c:v>Driving Location Cases</c:v>
                  </c:pt>
                  <c:pt idx="71">
                    <c:v> </c:v>
                  </c:pt>
                  <c:pt idx="72">
                    <c:v>GHG Value
Cases</c:v>
                  </c:pt>
                  <c:pt idx="77">
                    <c:v> </c:v>
                  </c:pt>
                  <c:pt idx="78">
                    <c:v>Oil Disruption
Cases</c:v>
                  </c:pt>
                  <c:pt idx="83">
                    <c:v> </c:v>
                  </c:pt>
                  <c:pt idx="84">
                    <c:v>Oil Monopsony
Cases</c:v>
                  </c:pt>
                  <c:pt idx="89">
                    <c:v> </c:v>
                  </c:pt>
                  <c:pt idx="90">
                    <c:v>Oil Military
Cases</c:v>
                  </c:pt>
                  <c:pt idx="95">
                    <c:v> </c:v>
                  </c:pt>
                  <c:pt idx="96">
                    <c:v>Discount 
Rate Cases</c:v>
                  </c:pt>
                </c:lvl>
              </c:multiLvlStrCache>
            </c:multiLvlStrRef>
          </c:cat>
          <c:val>
            <c:numRef>
              <c:f>SUMMARY!$BL$43:$BL$143</c:f>
              <c:numCache>
                <c:formatCode>"$"#,##0</c:formatCode>
                <c:ptCount val="101"/>
                <c:pt idx="0">
                  <c:v>335.04288137349306</c:v>
                </c:pt>
                <c:pt idx="1">
                  <c:v>239.31634383820932</c:v>
                </c:pt>
                <c:pt idx="2">
                  <c:v>194.46127091397832</c:v>
                </c:pt>
                <c:pt idx="3">
                  <c:v>168.42228059307067</c:v>
                </c:pt>
                <c:pt idx="4">
                  <c:v>0</c:v>
                </c:pt>
              </c:numCache>
            </c:numRef>
          </c:val>
        </c:ser>
        <c:ser>
          <c:idx val="12"/>
          <c:order val="12"/>
          <c:tx>
            <c:strRef>
              <c:f>SUMMARY!$BM$42</c:f>
              <c:strCache>
                <c:ptCount val="1"/>
                <c:pt idx="0">
                  <c:v>Monopsony</c:v>
                </c:pt>
              </c:strCache>
            </c:strRef>
          </c:tx>
          <c:spPr>
            <a:solidFill>
              <a:schemeClr val="tx1">
                <a:lumMod val="50000"/>
                <a:lumOff val="50000"/>
              </a:schemeClr>
            </a:solidFill>
          </c:spPr>
          <c:cat>
            <c:multiLvlStrRef>
              <c:f>SUMMARY!$AY$43:$AZ$143</c:f>
              <c:multiLvlStrCache>
                <c:ptCount val="101"/>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pt idx="66">
                    <c:v>CV</c:v>
                  </c:pt>
                  <c:pt idx="67">
                    <c:v>HEV</c:v>
                  </c:pt>
                  <c:pt idx="68">
                    <c:v>PHEV20</c:v>
                  </c:pt>
                  <c:pt idx="69">
                    <c:v>PHEV60</c:v>
                  </c:pt>
                  <c:pt idx="70">
                    <c:v>BEV240</c:v>
                  </c:pt>
                  <c:pt idx="72">
                    <c:v>CV</c:v>
                  </c:pt>
                  <c:pt idx="73">
                    <c:v>HEV</c:v>
                  </c:pt>
                  <c:pt idx="74">
                    <c:v>PHEV20</c:v>
                  </c:pt>
                  <c:pt idx="75">
                    <c:v>PHEV60</c:v>
                  </c:pt>
                  <c:pt idx="76">
                    <c:v>BEV240</c:v>
                  </c:pt>
                  <c:pt idx="78">
                    <c:v>CV</c:v>
                  </c:pt>
                  <c:pt idx="79">
                    <c:v>HEV</c:v>
                  </c:pt>
                  <c:pt idx="80">
                    <c:v>PHEV20</c:v>
                  </c:pt>
                  <c:pt idx="81">
                    <c:v>PHEV60</c:v>
                  </c:pt>
                  <c:pt idx="82">
                    <c:v>BEV240</c:v>
                  </c:pt>
                  <c:pt idx="84">
                    <c:v>CV</c:v>
                  </c:pt>
                  <c:pt idx="85">
                    <c:v>HEV</c:v>
                  </c:pt>
                  <c:pt idx="86">
                    <c:v>PHEV20</c:v>
                  </c:pt>
                  <c:pt idx="87">
                    <c:v>PHEV60</c:v>
                  </c:pt>
                  <c:pt idx="88">
                    <c:v>BEV240</c:v>
                  </c:pt>
                  <c:pt idx="90">
                    <c:v>CV</c:v>
                  </c:pt>
                  <c:pt idx="91">
                    <c:v>HEV</c:v>
                  </c:pt>
                  <c:pt idx="92">
                    <c:v>PHEV20</c:v>
                  </c:pt>
                  <c:pt idx="93">
                    <c:v>PHEV60</c:v>
                  </c:pt>
                  <c:pt idx="94">
                    <c:v>BEV240</c:v>
                  </c:pt>
                  <c:pt idx="96">
                    <c:v>CV</c:v>
                  </c:pt>
                  <c:pt idx="97">
                    <c:v>HEV</c:v>
                  </c:pt>
                  <c:pt idx="98">
                    <c:v>PHEV20</c:v>
                  </c:pt>
                  <c:pt idx="99">
                    <c:v>PHEV60</c:v>
                  </c:pt>
                  <c:pt idx="100">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pt idx="53">
                    <c:v> </c:v>
                  </c:pt>
                  <c:pt idx="54">
                    <c:v>Vehicle Data
Cases</c:v>
                  </c:pt>
                  <c:pt idx="59">
                    <c:v> </c:v>
                  </c:pt>
                  <c:pt idx="60">
                    <c:v>Li-ion Battery
Life Cases</c:v>
                  </c:pt>
                  <c:pt idx="65">
                    <c:v> </c:v>
                  </c:pt>
                  <c:pt idx="66">
                    <c:v>Driving Location Cases</c:v>
                  </c:pt>
                  <c:pt idx="71">
                    <c:v> </c:v>
                  </c:pt>
                  <c:pt idx="72">
                    <c:v>GHG Value
Cases</c:v>
                  </c:pt>
                  <c:pt idx="77">
                    <c:v> </c:v>
                  </c:pt>
                  <c:pt idx="78">
                    <c:v>Oil Disruption
Cases</c:v>
                  </c:pt>
                  <c:pt idx="83">
                    <c:v> </c:v>
                  </c:pt>
                  <c:pt idx="84">
                    <c:v>Oil Monopsony
Cases</c:v>
                  </c:pt>
                  <c:pt idx="89">
                    <c:v> </c:v>
                  </c:pt>
                  <c:pt idx="90">
                    <c:v>Oil Military
Cases</c:v>
                  </c:pt>
                  <c:pt idx="95">
                    <c:v> </c:v>
                  </c:pt>
                  <c:pt idx="96">
                    <c:v>Discount 
Rate Cases</c:v>
                  </c:pt>
                </c:lvl>
              </c:multiLvlStrCache>
            </c:multiLvlStrRef>
          </c:cat>
          <c:val>
            <c:numRef>
              <c:f>SUMMARY!$BM$43:$BM$143</c:f>
              <c:numCache>
                <c:formatCode>"$"#,##0</c:formatCode>
                <c:ptCount val="101"/>
                <c:pt idx="0">
                  <c:v>829.22473140215186</c:v>
                </c:pt>
                <c:pt idx="1">
                  <c:v>592.3033795729657</c:v>
                </c:pt>
                <c:pt idx="2">
                  <c:v>481.28793090818442</c:v>
                </c:pt>
                <c:pt idx="3">
                  <c:v>416.84192726136246</c:v>
                </c:pt>
                <c:pt idx="4">
                  <c:v>0</c:v>
                </c:pt>
              </c:numCache>
            </c:numRef>
          </c:val>
        </c:ser>
        <c:ser>
          <c:idx val="13"/>
          <c:order val="13"/>
          <c:tx>
            <c:strRef>
              <c:f>SUMMARY!$BN$42</c:f>
              <c:strCache>
                <c:ptCount val="1"/>
                <c:pt idx="0">
                  <c:v>Military</c:v>
                </c:pt>
              </c:strCache>
            </c:strRef>
          </c:tx>
          <c:spPr>
            <a:solidFill>
              <a:schemeClr val="bg1">
                <a:lumMod val="75000"/>
              </a:schemeClr>
            </a:solidFill>
          </c:spPr>
          <c:cat>
            <c:multiLvlStrRef>
              <c:f>SUMMARY!$AY$43:$AZ$143</c:f>
              <c:multiLvlStrCache>
                <c:ptCount val="101"/>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pt idx="66">
                    <c:v>CV</c:v>
                  </c:pt>
                  <c:pt idx="67">
                    <c:v>HEV</c:v>
                  </c:pt>
                  <c:pt idx="68">
                    <c:v>PHEV20</c:v>
                  </c:pt>
                  <c:pt idx="69">
                    <c:v>PHEV60</c:v>
                  </c:pt>
                  <c:pt idx="70">
                    <c:v>BEV240</c:v>
                  </c:pt>
                  <c:pt idx="72">
                    <c:v>CV</c:v>
                  </c:pt>
                  <c:pt idx="73">
                    <c:v>HEV</c:v>
                  </c:pt>
                  <c:pt idx="74">
                    <c:v>PHEV20</c:v>
                  </c:pt>
                  <c:pt idx="75">
                    <c:v>PHEV60</c:v>
                  </c:pt>
                  <c:pt idx="76">
                    <c:v>BEV240</c:v>
                  </c:pt>
                  <c:pt idx="78">
                    <c:v>CV</c:v>
                  </c:pt>
                  <c:pt idx="79">
                    <c:v>HEV</c:v>
                  </c:pt>
                  <c:pt idx="80">
                    <c:v>PHEV20</c:v>
                  </c:pt>
                  <c:pt idx="81">
                    <c:v>PHEV60</c:v>
                  </c:pt>
                  <c:pt idx="82">
                    <c:v>BEV240</c:v>
                  </c:pt>
                  <c:pt idx="84">
                    <c:v>CV</c:v>
                  </c:pt>
                  <c:pt idx="85">
                    <c:v>HEV</c:v>
                  </c:pt>
                  <c:pt idx="86">
                    <c:v>PHEV20</c:v>
                  </c:pt>
                  <c:pt idx="87">
                    <c:v>PHEV60</c:v>
                  </c:pt>
                  <c:pt idx="88">
                    <c:v>BEV240</c:v>
                  </c:pt>
                  <c:pt idx="90">
                    <c:v>CV</c:v>
                  </c:pt>
                  <c:pt idx="91">
                    <c:v>HEV</c:v>
                  </c:pt>
                  <c:pt idx="92">
                    <c:v>PHEV20</c:v>
                  </c:pt>
                  <c:pt idx="93">
                    <c:v>PHEV60</c:v>
                  </c:pt>
                  <c:pt idx="94">
                    <c:v>BEV240</c:v>
                  </c:pt>
                  <c:pt idx="96">
                    <c:v>CV</c:v>
                  </c:pt>
                  <c:pt idx="97">
                    <c:v>HEV</c:v>
                  </c:pt>
                  <c:pt idx="98">
                    <c:v>PHEV20</c:v>
                  </c:pt>
                  <c:pt idx="99">
                    <c:v>PHEV60</c:v>
                  </c:pt>
                  <c:pt idx="100">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pt idx="53">
                    <c:v> </c:v>
                  </c:pt>
                  <c:pt idx="54">
                    <c:v>Vehicle Data
Cases</c:v>
                  </c:pt>
                  <c:pt idx="59">
                    <c:v> </c:v>
                  </c:pt>
                  <c:pt idx="60">
                    <c:v>Li-ion Battery
Life Cases</c:v>
                  </c:pt>
                  <c:pt idx="65">
                    <c:v> </c:v>
                  </c:pt>
                  <c:pt idx="66">
                    <c:v>Driving Location Cases</c:v>
                  </c:pt>
                  <c:pt idx="71">
                    <c:v> </c:v>
                  </c:pt>
                  <c:pt idx="72">
                    <c:v>GHG Value
Cases</c:v>
                  </c:pt>
                  <c:pt idx="77">
                    <c:v> </c:v>
                  </c:pt>
                  <c:pt idx="78">
                    <c:v>Oil Disruption
Cases</c:v>
                  </c:pt>
                  <c:pt idx="83">
                    <c:v> </c:v>
                  </c:pt>
                  <c:pt idx="84">
                    <c:v>Oil Monopsony
Cases</c:v>
                  </c:pt>
                  <c:pt idx="89">
                    <c:v> </c:v>
                  </c:pt>
                  <c:pt idx="90">
                    <c:v>Oil Military
Cases</c:v>
                  </c:pt>
                  <c:pt idx="95">
                    <c:v> </c:v>
                  </c:pt>
                  <c:pt idx="96">
                    <c:v>Discount 
Rate Cases</c:v>
                  </c:pt>
                </c:lvl>
              </c:multiLvlStrCache>
            </c:multiLvlStrRef>
          </c:cat>
          <c:val>
            <c:numRef>
              <c:f>SUMMARY!$BN$43:$BN$143</c:f>
              <c:numCache>
                <c:formatCode>"$"#,##0</c:formatCode>
                <c:ptCount val="101"/>
                <c:pt idx="0">
                  <c:v>119.9726900992793</c:v>
                </c:pt>
                <c:pt idx="1">
                  <c:v>85.694778642342385</c:v>
                </c:pt>
                <c:pt idx="2">
                  <c:v>69.633002486231831</c:v>
                </c:pt>
                <c:pt idx="3">
                  <c:v>60.308919242135367</c:v>
                </c:pt>
                <c:pt idx="4">
                  <c:v>0</c:v>
                </c:pt>
              </c:numCache>
            </c:numRef>
          </c:val>
        </c:ser>
        <c:gapWidth val="25"/>
        <c:overlap val="100"/>
        <c:axId val="130943232"/>
        <c:axId val="130957312"/>
      </c:barChart>
      <c:lineChart>
        <c:grouping val="standard"/>
        <c:ser>
          <c:idx val="1"/>
          <c:order val="1"/>
          <c:tx>
            <c:strRef>
              <c:f>SUMMARY!$BB$42</c:f>
              <c:strCache>
                <c:ptCount val="1"/>
                <c:pt idx="0">
                  <c:v>Low Case</c:v>
                </c:pt>
              </c:strCache>
            </c:strRef>
          </c:tx>
          <c:spPr>
            <a:ln w="12700">
              <a:prstDash val="sysDot"/>
            </a:ln>
          </c:spPr>
          <c:marker>
            <c:symbol val="none"/>
          </c:marker>
          <c:cat>
            <c:multiLvlStrRef>
              <c:f>SUMMARY!$AY$43:$AZ$143</c:f>
              <c:multiLvlStrCache>
                <c:ptCount val="101"/>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pt idx="66">
                    <c:v>CV</c:v>
                  </c:pt>
                  <c:pt idx="67">
                    <c:v>HEV</c:v>
                  </c:pt>
                  <c:pt idx="68">
                    <c:v>PHEV20</c:v>
                  </c:pt>
                  <c:pt idx="69">
                    <c:v>PHEV60</c:v>
                  </c:pt>
                  <c:pt idx="70">
                    <c:v>BEV240</c:v>
                  </c:pt>
                  <c:pt idx="72">
                    <c:v>CV</c:v>
                  </c:pt>
                  <c:pt idx="73">
                    <c:v>HEV</c:v>
                  </c:pt>
                  <c:pt idx="74">
                    <c:v>PHEV20</c:v>
                  </c:pt>
                  <c:pt idx="75">
                    <c:v>PHEV60</c:v>
                  </c:pt>
                  <c:pt idx="76">
                    <c:v>BEV240</c:v>
                  </c:pt>
                  <c:pt idx="78">
                    <c:v>CV</c:v>
                  </c:pt>
                  <c:pt idx="79">
                    <c:v>HEV</c:v>
                  </c:pt>
                  <c:pt idx="80">
                    <c:v>PHEV20</c:v>
                  </c:pt>
                  <c:pt idx="81">
                    <c:v>PHEV60</c:v>
                  </c:pt>
                  <c:pt idx="82">
                    <c:v>BEV240</c:v>
                  </c:pt>
                  <c:pt idx="84">
                    <c:v>CV</c:v>
                  </c:pt>
                  <c:pt idx="85">
                    <c:v>HEV</c:v>
                  </c:pt>
                  <c:pt idx="86">
                    <c:v>PHEV20</c:v>
                  </c:pt>
                  <c:pt idx="87">
                    <c:v>PHEV60</c:v>
                  </c:pt>
                  <c:pt idx="88">
                    <c:v>BEV240</c:v>
                  </c:pt>
                  <c:pt idx="90">
                    <c:v>CV</c:v>
                  </c:pt>
                  <c:pt idx="91">
                    <c:v>HEV</c:v>
                  </c:pt>
                  <c:pt idx="92">
                    <c:v>PHEV20</c:v>
                  </c:pt>
                  <c:pt idx="93">
                    <c:v>PHEV60</c:v>
                  </c:pt>
                  <c:pt idx="94">
                    <c:v>BEV240</c:v>
                  </c:pt>
                  <c:pt idx="96">
                    <c:v>CV</c:v>
                  </c:pt>
                  <c:pt idx="97">
                    <c:v>HEV</c:v>
                  </c:pt>
                  <c:pt idx="98">
                    <c:v>PHEV20</c:v>
                  </c:pt>
                  <c:pt idx="99">
                    <c:v>PHEV60</c:v>
                  </c:pt>
                  <c:pt idx="100">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pt idx="53">
                    <c:v> </c:v>
                  </c:pt>
                  <c:pt idx="54">
                    <c:v>Vehicle Data
Cases</c:v>
                  </c:pt>
                  <c:pt idx="59">
                    <c:v> </c:v>
                  </c:pt>
                  <c:pt idx="60">
                    <c:v>Li-ion Battery
Life Cases</c:v>
                  </c:pt>
                  <c:pt idx="65">
                    <c:v> </c:v>
                  </c:pt>
                  <c:pt idx="66">
                    <c:v>Driving Location Cases</c:v>
                  </c:pt>
                  <c:pt idx="71">
                    <c:v> </c:v>
                  </c:pt>
                  <c:pt idx="72">
                    <c:v>GHG Value
Cases</c:v>
                  </c:pt>
                  <c:pt idx="77">
                    <c:v> </c:v>
                  </c:pt>
                  <c:pt idx="78">
                    <c:v>Oil Disruption
Cases</c:v>
                  </c:pt>
                  <c:pt idx="83">
                    <c:v> </c:v>
                  </c:pt>
                  <c:pt idx="84">
                    <c:v>Oil Monopsony
Cases</c:v>
                  </c:pt>
                  <c:pt idx="89">
                    <c:v> </c:v>
                  </c:pt>
                  <c:pt idx="90">
                    <c:v>Oil Military
Cases</c:v>
                  </c:pt>
                  <c:pt idx="95">
                    <c:v> </c:v>
                  </c:pt>
                  <c:pt idx="96">
                    <c:v>Discount 
Rate Cases</c:v>
                  </c:pt>
                </c:lvl>
              </c:multiLvlStrCache>
            </c:multiLvlStrRef>
          </c:cat>
          <c:val>
            <c:numRef>
              <c:f>SUMMARY!$BB$43:$BB$143</c:f>
              <c:numCache>
                <c:formatCode>"$"#,##0</c:formatCode>
                <c:ptCount val="101"/>
                <c:pt idx="6">
                  <c:v>4801.5346124455709</c:v>
                </c:pt>
                <c:pt idx="7">
                  <c:v>3910.2272578777161</c:v>
                </c:pt>
                <c:pt idx="8">
                  <c:v>3370.0383139340011</c:v>
                </c:pt>
                <c:pt idx="9">
                  <c:v>3373.8760335020688</c:v>
                </c:pt>
                <c:pt idx="10">
                  <c:v>2905.4301141452202</c:v>
                </c:pt>
                <c:pt idx="12">
                  <c:v>4801.5346124455709</c:v>
                </c:pt>
                <c:pt idx="13">
                  <c:v>3910.2272578777161</c:v>
                </c:pt>
                <c:pt idx="14">
                  <c:v>3632.7889258841947</c:v>
                </c:pt>
                <c:pt idx="15">
                  <c:v>4145.8901532997616</c:v>
                </c:pt>
                <c:pt idx="16">
                  <c:v>4667.4752102121438</c:v>
                </c:pt>
                <c:pt idx="18">
                  <c:v>4614.9106552413714</c:v>
                </c:pt>
                <c:pt idx="19">
                  <c:v>3776.9244313032887</c:v>
                </c:pt>
                <c:pt idx="20">
                  <c:v>3524.4710539982125</c:v>
                </c:pt>
                <c:pt idx="21">
                  <c:v>4052.0763932318496</c:v>
                </c:pt>
                <c:pt idx="22">
                  <c:v>4667.4752102121438</c:v>
                </c:pt>
                <c:pt idx="24">
                  <c:v>4731.3169783034009</c:v>
                </c:pt>
                <c:pt idx="25">
                  <c:v>3860.0718049190232</c:v>
                </c:pt>
                <c:pt idx="26">
                  <c:v>3592.0341116947907</c:v>
                </c:pt>
                <c:pt idx="27">
                  <c:v>4110.5925399566786</c:v>
                </c:pt>
                <c:pt idx="28">
                  <c:v>4667.4752102121438</c:v>
                </c:pt>
                <c:pt idx="30">
                  <c:v>4783.1986796665196</c:v>
                </c:pt>
                <c:pt idx="31">
                  <c:v>3897.1301630355374</c:v>
                </c:pt>
                <c:pt idx="32">
                  <c:v>3622.1466201083176</c:v>
                </c:pt>
                <c:pt idx="33">
                  <c:v>4136.6728865344185</c:v>
                </c:pt>
                <c:pt idx="34">
                  <c:v>4667.4752102121438</c:v>
                </c:pt>
                <c:pt idx="36">
                  <c:v>4735.7420375995507</c:v>
                </c:pt>
                <c:pt idx="37">
                  <c:v>3841.2389513591493</c:v>
                </c:pt>
                <c:pt idx="38">
                  <c:v>3566.7166113847375</c:v>
                </c:pt>
                <c:pt idx="39">
                  <c:v>4054.9047508933268</c:v>
                </c:pt>
                <c:pt idx="40">
                  <c:v>4465.8013809360737</c:v>
                </c:pt>
                <c:pt idx="42">
                  <c:v>4346.5847286131839</c:v>
                </c:pt>
                <c:pt idx="43">
                  <c:v>3385.4386111494719</c:v>
                </c:pt>
                <c:pt idx="44">
                  <c:v>3101.6991904717188</c:v>
                </c:pt>
                <c:pt idx="45">
                  <c:v>3446.9939237598987</c:v>
                </c:pt>
                <c:pt idx="46">
                  <c:v>3223.0175744418361</c:v>
                </c:pt>
                <c:pt idx="48">
                  <c:v>4565.9505803366592</c:v>
                </c:pt>
                <c:pt idx="49">
                  <c:v>3652.928316409148</c:v>
                </c:pt>
                <c:pt idx="50">
                  <c:v>3355.4561812272536</c:v>
                </c:pt>
                <c:pt idx="51">
                  <c:v>3686.2939163660576</c:v>
                </c:pt>
                <c:pt idx="52">
                  <c:v>3492.6421570654597</c:v>
                </c:pt>
                <c:pt idx="54">
                  <c:v>4801.5346124455709</c:v>
                </c:pt>
                <c:pt idx="55">
                  <c:v>3910.2272578777161</c:v>
                </c:pt>
                <c:pt idx="56">
                  <c:v>3632.7889258841947</c:v>
                </c:pt>
                <c:pt idx="57">
                  <c:v>4145.8901532997616</c:v>
                </c:pt>
                <c:pt idx="58">
                  <c:v>4667.4752102121438</c:v>
                </c:pt>
                <c:pt idx="60">
                  <c:v>4801.5346124455709</c:v>
                </c:pt>
                <c:pt idx="61">
                  <c:v>3910.2272578777161</c:v>
                </c:pt>
                <c:pt idx="62">
                  <c:v>3721.3997336908124</c:v>
                </c:pt>
                <c:pt idx="63">
                  <c:v>4449.8044436715054</c:v>
                </c:pt>
                <c:pt idx="64">
                  <c:v>5898.1858128104841</c:v>
                </c:pt>
                <c:pt idx="66">
                  <c:v>4303.7869450633434</c:v>
                </c:pt>
                <c:pt idx="67">
                  <c:v>3441.5908813958449</c:v>
                </c:pt>
                <c:pt idx="68">
                  <c:v>3278.0495496322947</c:v>
                </c:pt>
                <c:pt idx="69">
                  <c:v>3863.8057497200984</c:v>
                </c:pt>
                <c:pt idx="70">
                  <c:v>4600.0258722296448</c:v>
                </c:pt>
                <c:pt idx="72">
                  <c:v>3451.7073060734569</c:v>
                </c:pt>
                <c:pt idx="73">
                  <c:v>2887.9448650701861</c:v>
                </c:pt>
                <c:pt idx="74">
                  <c:v>2652.1286738568469</c:v>
                </c:pt>
                <c:pt idx="75">
                  <c:v>2989.9372396261324</c:v>
                </c:pt>
                <c:pt idx="76">
                  <c:v>3451.607399994477</c:v>
                </c:pt>
                <c:pt idx="78">
                  <c:v>4465.9554895026949</c:v>
                </c:pt>
                <c:pt idx="79">
                  <c:v>3670.5278843470901</c:v>
                </c:pt>
                <c:pt idx="80">
                  <c:v>3438.0164165500128</c:v>
                </c:pt>
                <c:pt idx="81">
                  <c:v>3977.1983101131086</c:v>
                </c:pt>
                <c:pt idx="82">
                  <c:v>4667.4752102121438</c:v>
                </c:pt>
                <c:pt idx="84">
                  <c:v>4243.4384168164825</c:v>
                </c:pt>
                <c:pt idx="85">
                  <c:v>3511.5871181426528</c:v>
                </c:pt>
                <c:pt idx="86">
                  <c:v>3308.8659251943041</c:v>
                </c:pt>
                <c:pt idx="87">
                  <c:v>3865.341485401384</c:v>
                </c:pt>
                <c:pt idx="88">
                  <c:v>4667.4752102121438</c:v>
                </c:pt>
                <c:pt idx="90">
                  <c:v>4801.5346124455709</c:v>
                </c:pt>
                <c:pt idx="91">
                  <c:v>3910.2272578777161</c:v>
                </c:pt>
                <c:pt idx="92">
                  <c:v>3632.7889258841947</c:v>
                </c:pt>
                <c:pt idx="93">
                  <c:v>4145.8901532997616</c:v>
                </c:pt>
                <c:pt idx="94">
                  <c:v>4667.4752102121438</c:v>
                </c:pt>
                <c:pt idx="96">
                  <c:v>7087.4846527648524</c:v>
                </c:pt>
                <c:pt idx="97">
                  <c:v>5612.2137721725367</c:v>
                </c:pt>
                <c:pt idx="98">
                  <c:v>5153.368335239531</c:v>
                </c:pt>
                <c:pt idx="99">
                  <c:v>5768.0211726338612</c:v>
                </c:pt>
                <c:pt idx="100">
                  <c:v>5849.9642254676128</c:v>
                </c:pt>
              </c:numCache>
            </c:numRef>
          </c:val>
        </c:ser>
        <c:ser>
          <c:idx val="2"/>
          <c:order val="2"/>
          <c:tx>
            <c:strRef>
              <c:f>SUMMARY!$BC$42</c:f>
              <c:strCache>
                <c:ptCount val="1"/>
                <c:pt idx="0">
                  <c:v>High Case</c:v>
                </c:pt>
              </c:strCache>
            </c:strRef>
          </c:tx>
          <c:spPr>
            <a:ln w="12700">
              <a:solidFill>
                <a:schemeClr val="tx2"/>
              </a:solidFill>
              <a:prstDash val="sysDot"/>
            </a:ln>
          </c:spPr>
          <c:marker>
            <c:symbol val="none"/>
          </c:marker>
          <c:cat>
            <c:multiLvlStrRef>
              <c:f>SUMMARY!$AY$43:$AZ$143</c:f>
              <c:multiLvlStrCache>
                <c:ptCount val="101"/>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pt idx="66">
                    <c:v>CV</c:v>
                  </c:pt>
                  <c:pt idx="67">
                    <c:v>HEV</c:v>
                  </c:pt>
                  <c:pt idx="68">
                    <c:v>PHEV20</c:v>
                  </c:pt>
                  <c:pt idx="69">
                    <c:v>PHEV60</c:v>
                  </c:pt>
                  <c:pt idx="70">
                    <c:v>BEV240</c:v>
                  </c:pt>
                  <c:pt idx="72">
                    <c:v>CV</c:v>
                  </c:pt>
                  <c:pt idx="73">
                    <c:v>HEV</c:v>
                  </c:pt>
                  <c:pt idx="74">
                    <c:v>PHEV20</c:v>
                  </c:pt>
                  <c:pt idx="75">
                    <c:v>PHEV60</c:v>
                  </c:pt>
                  <c:pt idx="76">
                    <c:v>BEV240</c:v>
                  </c:pt>
                  <c:pt idx="78">
                    <c:v>CV</c:v>
                  </c:pt>
                  <c:pt idx="79">
                    <c:v>HEV</c:v>
                  </c:pt>
                  <c:pt idx="80">
                    <c:v>PHEV20</c:v>
                  </c:pt>
                  <c:pt idx="81">
                    <c:v>PHEV60</c:v>
                  </c:pt>
                  <c:pt idx="82">
                    <c:v>BEV240</c:v>
                  </c:pt>
                  <c:pt idx="84">
                    <c:v>CV</c:v>
                  </c:pt>
                  <c:pt idx="85">
                    <c:v>HEV</c:v>
                  </c:pt>
                  <c:pt idx="86">
                    <c:v>PHEV20</c:v>
                  </c:pt>
                  <c:pt idx="87">
                    <c:v>PHEV60</c:v>
                  </c:pt>
                  <c:pt idx="88">
                    <c:v>BEV240</c:v>
                  </c:pt>
                  <c:pt idx="90">
                    <c:v>CV</c:v>
                  </c:pt>
                  <c:pt idx="91">
                    <c:v>HEV</c:v>
                  </c:pt>
                  <c:pt idx="92">
                    <c:v>PHEV20</c:v>
                  </c:pt>
                  <c:pt idx="93">
                    <c:v>PHEV60</c:v>
                  </c:pt>
                  <c:pt idx="94">
                    <c:v>BEV240</c:v>
                  </c:pt>
                  <c:pt idx="96">
                    <c:v>CV</c:v>
                  </c:pt>
                  <c:pt idx="97">
                    <c:v>HEV</c:v>
                  </c:pt>
                  <c:pt idx="98">
                    <c:v>PHEV20</c:v>
                  </c:pt>
                  <c:pt idx="99">
                    <c:v>PHEV60</c:v>
                  </c:pt>
                  <c:pt idx="100">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pt idx="53">
                    <c:v> </c:v>
                  </c:pt>
                  <c:pt idx="54">
                    <c:v>Vehicle Data
Cases</c:v>
                  </c:pt>
                  <c:pt idx="59">
                    <c:v> </c:v>
                  </c:pt>
                  <c:pt idx="60">
                    <c:v>Li-ion Battery
Life Cases</c:v>
                  </c:pt>
                  <c:pt idx="65">
                    <c:v> </c:v>
                  </c:pt>
                  <c:pt idx="66">
                    <c:v>Driving Location Cases</c:v>
                  </c:pt>
                  <c:pt idx="71">
                    <c:v> </c:v>
                  </c:pt>
                  <c:pt idx="72">
                    <c:v>GHG Value
Cases</c:v>
                  </c:pt>
                  <c:pt idx="77">
                    <c:v> </c:v>
                  </c:pt>
                  <c:pt idx="78">
                    <c:v>Oil Disruption
Cases</c:v>
                  </c:pt>
                  <c:pt idx="83">
                    <c:v> </c:v>
                  </c:pt>
                  <c:pt idx="84">
                    <c:v>Oil Monopsony
Cases</c:v>
                  </c:pt>
                  <c:pt idx="89">
                    <c:v> </c:v>
                  </c:pt>
                  <c:pt idx="90">
                    <c:v>Oil Military
Cases</c:v>
                  </c:pt>
                  <c:pt idx="95">
                    <c:v> </c:v>
                  </c:pt>
                  <c:pt idx="96">
                    <c:v>Discount 
Rate Cases</c:v>
                  </c:pt>
                </c:lvl>
              </c:multiLvlStrCache>
            </c:multiLvlStrRef>
          </c:cat>
          <c:val>
            <c:numRef>
              <c:f>SUMMARY!$BC$43:$BC$143</c:f>
              <c:numCache>
                <c:formatCode>"$"#,##0</c:formatCode>
                <c:ptCount val="101"/>
                <c:pt idx="6">
                  <c:v>4801.5346124455709</c:v>
                </c:pt>
                <c:pt idx="7">
                  <c:v>3910.2272578777161</c:v>
                </c:pt>
                <c:pt idx="8">
                  <c:v>4087.298104563889</c:v>
                </c:pt>
                <c:pt idx="9">
                  <c:v>5481.3294921999168</c:v>
                </c:pt>
                <c:pt idx="10">
                  <c:v>7715.4820767452402</c:v>
                </c:pt>
                <c:pt idx="12">
                  <c:v>4801.5346124455709</c:v>
                </c:pt>
                <c:pt idx="13">
                  <c:v>3910.2272578777161</c:v>
                </c:pt>
                <c:pt idx="14">
                  <c:v>3632.5115474197278</c:v>
                </c:pt>
                <c:pt idx="15">
                  <c:v>4145.0751596085702</c:v>
                </c:pt>
                <c:pt idx="16">
                  <c:v>4665.6150685384846</c:v>
                </c:pt>
                <c:pt idx="18">
                  <c:v>5909.9276043831615</c:v>
                </c:pt>
                <c:pt idx="19">
                  <c:v>4701.9365378331386</c:v>
                </c:pt>
                <c:pt idx="20">
                  <c:v>4276.1081004350353</c:v>
                </c:pt>
                <c:pt idx="21">
                  <c:v>4703.0668189558955</c:v>
                </c:pt>
                <c:pt idx="22">
                  <c:v>4667.4752102121438</c:v>
                </c:pt>
                <c:pt idx="24">
                  <c:v>4919.7581646215976</c:v>
                </c:pt>
                <c:pt idx="25">
                  <c:v>3994.672652289164</c:v>
                </c:pt>
                <c:pt idx="26">
                  <c:v>3701.4067162812603</c:v>
                </c:pt>
                <c:pt idx="27">
                  <c:v>4205.3198006203502</c:v>
                </c:pt>
                <c:pt idx="28">
                  <c:v>4667.4752102121438</c:v>
                </c:pt>
                <c:pt idx="30">
                  <c:v>4977.786626849911</c:v>
                </c:pt>
                <c:pt idx="31">
                  <c:v>4036.1215538808169</c:v>
                </c:pt>
                <c:pt idx="32">
                  <c:v>3735.086848411936</c:v>
                </c:pt>
                <c:pt idx="33">
                  <c:v>4234.4900546121271</c:v>
                </c:pt>
                <c:pt idx="34">
                  <c:v>4667.4752102121438</c:v>
                </c:pt>
                <c:pt idx="36">
                  <c:v>4849.9331941142846</c:v>
                </c:pt>
                <c:pt idx="37">
                  <c:v>3960.7441982278629</c:v>
                </c:pt>
                <c:pt idx="38">
                  <c:v>3681.3729389295454</c:v>
                </c:pt>
                <c:pt idx="39">
                  <c:v>4210.9883363245262</c:v>
                </c:pt>
                <c:pt idx="40">
                  <c:v>4805.9455702590512</c:v>
                </c:pt>
                <c:pt idx="42">
                  <c:v>5057.6707581554147</c:v>
                </c:pt>
                <c:pt idx="43">
                  <c:v>4229.8424219808803</c:v>
                </c:pt>
                <c:pt idx="44">
                  <c:v>3911.5632896359066</c:v>
                </c:pt>
                <c:pt idx="45">
                  <c:v>4505.912524457849</c:v>
                </c:pt>
                <c:pt idx="46">
                  <c:v>5388.4810997395098</c:v>
                </c:pt>
                <c:pt idx="48">
                  <c:v>4966.0884432687744</c:v>
                </c:pt>
                <c:pt idx="49">
                  <c:v>4090.019144707901</c:v>
                </c:pt>
                <c:pt idx="50">
                  <c:v>3826.637975179543</c:v>
                </c:pt>
                <c:pt idx="51">
                  <c:v>4467.6323203781467</c:v>
                </c:pt>
                <c:pt idx="52">
                  <c:v>5501.812417201013</c:v>
                </c:pt>
                <c:pt idx="54">
                  <c:v>4281.8432748261557</c:v>
                </c:pt>
                <c:pt idx="55">
                  <c:v>3539.2272707758125</c:v>
                </c:pt>
                <c:pt idx="56">
                  <c:v>3244.6460654505472</c:v>
                </c:pt>
                <c:pt idx="57">
                  <c:v>3731.5071096440442</c:v>
                </c:pt>
                <c:pt idx="58">
                  <c:v>4297.1201430777919</c:v>
                </c:pt>
                <c:pt idx="60">
                  <c:v>4801.5346124455709</c:v>
                </c:pt>
                <c:pt idx="61">
                  <c:v>3910.2272578777161</c:v>
                </c:pt>
                <c:pt idx="62">
                  <c:v>3632.7889258841947</c:v>
                </c:pt>
                <c:pt idx="63">
                  <c:v>4145.8901532997616</c:v>
                </c:pt>
                <c:pt idx="64">
                  <c:v>4667.4752102121438</c:v>
                </c:pt>
                <c:pt idx="66">
                  <c:v>6697.6196125010074</c:v>
                </c:pt>
                <c:pt idx="67">
                  <c:v>5681.9958077039519</c:v>
                </c:pt>
                <c:pt idx="68">
                  <c:v>4979.6432883898633</c:v>
                </c:pt>
                <c:pt idx="69">
                  <c:v>5221.6914713399337</c:v>
                </c:pt>
                <c:pt idx="70">
                  <c:v>4942.5400357672734</c:v>
                </c:pt>
                <c:pt idx="72">
                  <c:v>9525.930184747971</c:v>
                </c:pt>
                <c:pt idx="73">
                  <c:v>7488.215632704072</c:v>
                </c:pt>
                <c:pt idx="74">
                  <c:v>7065.099807979911</c:v>
                </c:pt>
                <c:pt idx="75">
                  <c:v>8191.7253511574654</c:v>
                </c:pt>
                <c:pt idx="76">
                  <c:v>8923.0125459739793</c:v>
                </c:pt>
                <c:pt idx="78">
                  <c:v>5513.519567657454</c:v>
                </c:pt>
                <c:pt idx="79">
                  <c:v>4418.7879401719183</c:v>
                </c:pt>
                <c:pt idx="80">
                  <c:v>4046.0300569732985</c:v>
                </c:pt>
                <c:pt idx="81">
                  <c:v>4503.7969663415979</c:v>
                </c:pt>
                <c:pt idx="82">
                  <c:v>4667.4752102121438</c:v>
                </c:pt>
                <c:pt idx="84">
                  <c:v>5686.6621347287664</c:v>
                </c:pt>
                <c:pt idx="85">
                  <c:v>4542.4612023657128</c:v>
                </c:pt>
                <c:pt idx="86">
                  <c:v>4146.5232341569754</c:v>
                </c:pt>
                <c:pt idx="87">
                  <c:v>4590.8337835225648</c:v>
                </c:pt>
                <c:pt idx="88">
                  <c:v>4667.4752102121438</c:v>
                </c:pt>
                <c:pt idx="90">
                  <c:v>5281.4253728426884</c:v>
                </c:pt>
                <c:pt idx="91">
                  <c:v>4253.0063724470856</c:v>
                </c:pt>
                <c:pt idx="92">
                  <c:v>3911.3209358291219</c:v>
                </c:pt>
                <c:pt idx="93">
                  <c:v>4387.1258302683027</c:v>
                </c:pt>
                <c:pt idx="94">
                  <c:v>4667.4752102121438</c:v>
                </c:pt>
                <c:pt idx="96">
                  <c:v>3214.8754220413684</c:v>
                </c:pt>
                <c:pt idx="97">
                  <c:v>2729.4661746202564</c:v>
                </c:pt>
                <c:pt idx="98">
                  <c:v>2577.8798678572011</c:v>
                </c:pt>
                <c:pt idx="99">
                  <c:v>3020.529192159574</c:v>
                </c:pt>
                <c:pt idx="100">
                  <c:v>3868.0242980648513</c:v>
                </c:pt>
              </c:numCache>
            </c:numRef>
          </c:val>
        </c:ser>
        <c:marker val="1"/>
        <c:axId val="130943232"/>
        <c:axId val="130957312"/>
      </c:lineChart>
      <c:catAx>
        <c:axId val="130943232"/>
        <c:scaling>
          <c:orientation val="minMax"/>
        </c:scaling>
        <c:axPos val="b"/>
        <c:majorTickMark val="none"/>
        <c:tickLblPos val="nextTo"/>
        <c:crossAx val="130957312"/>
        <c:crosses val="autoZero"/>
        <c:auto val="1"/>
        <c:lblAlgn val="ctr"/>
        <c:lblOffset val="100"/>
      </c:catAx>
      <c:valAx>
        <c:axId val="130957312"/>
        <c:scaling>
          <c:orientation val="minMax"/>
          <c:max val="10000"/>
        </c:scaling>
        <c:axPos val="l"/>
        <c:majorGridlines/>
        <c:numFmt formatCode="&quot;$&quot;#,##0" sourceLinked="1"/>
        <c:tickLblPos val="nextTo"/>
        <c:crossAx val="130943232"/>
        <c:crosses val="autoZero"/>
        <c:crossBetween val="between"/>
        <c:majorUnit val="2000"/>
      </c:valAx>
    </c:plotArea>
    <c:legend>
      <c:legendPos val="r"/>
      <c:legendEntry>
        <c:idx val="8"/>
        <c:delete val="1"/>
      </c:legendEntry>
      <c:layout>
        <c:manualLayout>
          <c:xMode val="edge"/>
          <c:yMode val="edge"/>
          <c:x val="0.9074501381164205"/>
          <c:y val="0.12790618262629541"/>
          <c:w val="6.534183133543249E-2"/>
          <c:h val="0.60179741129028252"/>
        </c:manualLayout>
      </c:layout>
    </c:legend>
    <c:plotVisOnly val="1"/>
    <c:dispBlanksAs val="gap"/>
  </c:chart>
  <c:spPr>
    <a:ln>
      <a:noFill/>
    </a:ln>
  </c:spPr>
  <c:printSettings>
    <c:headerFooter/>
    <c:pageMargins b="0.75000000000000844" l="0.70000000000000062" r="0.70000000000000062" t="0.7500000000000084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a:pPr>
            <a:r>
              <a:rPr lang="en-US" sz="1200"/>
              <a:t>NPV of Lifetime Costs</a:t>
            </a:r>
            <a:r>
              <a:rPr lang="en-US" sz="1200" baseline="0"/>
              <a:t> with Sensitivity Analysis</a:t>
            </a:r>
            <a:endParaRPr lang="en-US" sz="1200"/>
          </a:p>
        </c:rich>
      </c:tx>
      <c:layout>
        <c:manualLayout>
          <c:xMode val="edge"/>
          <c:yMode val="edge"/>
          <c:x val="9.0148700220937739E-2"/>
          <c:y val="7.6103079185001424E-3"/>
        </c:manualLayout>
      </c:layout>
    </c:title>
    <c:plotArea>
      <c:layout>
        <c:manualLayout>
          <c:layoutTarget val="inner"/>
          <c:xMode val="edge"/>
          <c:yMode val="edge"/>
          <c:x val="0.11320892897273979"/>
          <c:y val="0.13141967611942293"/>
          <c:w val="0.62999079642902356"/>
          <c:h val="0.52200787186840825"/>
        </c:manualLayout>
      </c:layout>
      <c:barChart>
        <c:barDir val="col"/>
        <c:grouping val="stacked"/>
        <c:ser>
          <c:idx val="0"/>
          <c:order val="0"/>
          <c:tx>
            <c:strRef>
              <c:f>SUMMARY!$BT$114</c:f>
              <c:strCache>
                <c:ptCount val="1"/>
                <c:pt idx="0">
                  <c:v>Base Case</c:v>
                </c:pt>
              </c:strCache>
            </c:strRef>
          </c:tx>
          <c:spPr>
            <a:solidFill>
              <a:schemeClr val="tx1">
                <a:lumMod val="75000"/>
                <a:lumOff val="25000"/>
                <a:alpha val="25000"/>
              </a:schemeClr>
            </a:solidFill>
            <a:ln>
              <a:noFill/>
            </a:ln>
          </c:spPr>
          <c:errBars>
            <c:errBarType val="both"/>
            <c:errValType val="cust"/>
            <c:plus>
              <c:numRef>
                <c:f>SUMMARY!$CG$115:$CG$137</c:f>
                <c:numCache>
                  <c:formatCode>General</c:formatCode>
                  <c:ptCount val="23"/>
                  <c:pt idx="6">
                    <c:v>0.52660512940201443</c:v>
                  </c:pt>
                  <c:pt idx="7">
                    <c:v>-653.51696558976982</c:v>
                  </c:pt>
                  <c:pt idx="8">
                    <c:v>-1659.8593678798788</c:v>
                  </c:pt>
                  <c:pt idx="9">
                    <c:v>-6031.7351521878809</c:v>
                  </c:pt>
                  <c:pt idx="10">
                    <c:v>-21881.496336974946</c:v>
                  </c:pt>
                  <c:pt idx="12">
                    <c:v>5867.5036537361884</c:v>
                  </c:pt>
                  <c:pt idx="13">
                    <c:v>4191.0740383829907</c:v>
                  </c:pt>
                  <c:pt idx="14">
                    <c:v>3405.5408457582089</c:v>
                  </c:pt>
                  <c:pt idx="15">
                    <c:v>2949.5279610158177</c:v>
                  </c:pt>
                  <c:pt idx="16">
                    <c:v>0</c:v>
                  </c:pt>
                  <c:pt idx="18">
                    <c:v>0</c:v>
                  </c:pt>
                  <c:pt idx="19">
                    <c:v>0</c:v>
                  </c:pt>
                  <c:pt idx="20">
                    <c:v>0</c:v>
                  </c:pt>
                  <c:pt idx="21">
                    <c:v>0</c:v>
                  </c:pt>
                  <c:pt idx="22">
                    <c:v>0</c:v>
                  </c:pt>
                </c:numCache>
              </c:numRef>
            </c:plus>
            <c:minus>
              <c:numRef>
                <c:f>SUMMARY!$CF$115:$CF$137</c:f>
                <c:numCache>
                  <c:formatCode>General</c:formatCode>
                  <c:ptCount val="23"/>
                  <c:pt idx="6">
                    <c:v>0</c:v>
                  </c:pt>
                  <c:pt idx="7">
                    <c:v>0</c:v>
                  </c:pt>
                  <c:pt idx="8">
                    <c:v>0</c:v>
                  </c:pt>
                  <c:pt idx="9">
                    <c:v>0</c:v>
                  </c:pt>
                  <c:pt idx="10">
                    <c:v>0</c:v>
                  </c:pt>
                  <c:pt idx="12">
                    <c:v>5227.0259839355276</c:v>
                  </c:pt>
                  <c:pt idx="13">
                    <c:v>3733.5899885253748</c:v>
                  </c:pt>
                  <c:pt idx="14">
                    <c:v>3033.8030516260551</c:v>
                  </c:pt>
                  <c:pt idx="15">
                    <c:v>2627.5670544758759</c:v>
                  </c:pt>
                  <c:pt idx="16">
                    <c:v>0</c:v>
                  </c:pt>
                  <c:pt idx="18">
                    <c:v>0</c:v>
                  </c:pt>
                  <c:pt idx="19">
                    <c:v>0</c:v>
                  </c:pt>
                  <c:pt idx="20">
                    <c:v>-1747.1998962455182</c:v>
                  </c:pt>
                  <c:pt idx="21">
                    <c:v>-5805.3328394193595</c:v>
                  </c:pt>
                  <c:pt idx="22">
                    <c:v>-21366.738755518541</c:v>
                  </c:pt>
                </c:numCache>
              </c:numRef>
            </c:minus>
            <c:spPr>
              <a:ln>
                <a:solidFill>
                  <a:sysClr val="windowText" lastClr="000000">
                    <a:alpha val="25000"/>
                  </a:sysClr>
                </a:solidFill>
              </a:ln>
            </c:spPr>
          </c:errBars>
          <c:cat>
            <c:multiLvlStrRef>
              <c:f>SUMMARY!$BR$115:$BS$137</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Vehicle
Cost Cases</c:v>
                  </c:pt>
                  <c:pt idx="11">
                    <c:v> </c:v>
                  </c:pt>
                  <c:pt idx="12">
                    <c:v>Gasoline
Price Cases</c:v>
                  </c:pt>
                  <c:pt idx="17">
                    <c:v> </c:v>
                  </c:pt>
                  <c:pt idx="18">
                    <c:v>Li-ion Batt.
Life Cases</c:v>
                  </c:pt>
                </c:lvl>
              </c:multiLvlStrCache>
            </c:multiLvlStrRef>
          </c:cat>
          <c:val>
            <c:numRef>
              <c:f>SUMMARY!$BT$115:$BT$137</c:f>
              <c:numCache>
                <c:formatCode>"$"#,##0</c:formatCode>
                <c:ptCount val="23"/>
                <c:pt idx="6">
                  <c:v>44587.220125613137</c:v>
                </c:pt>
                <c:pt idx="7">
                  <c:v>43587.2467938478</c:v>
                </c:pt>
                <c:pt idx="8">
                  <c:v>44342.078748103791</c:v>
                </c:pt>
                <c:pt idx="9">
                  <c:v>52780.398428948298</c:v>
                </c:pt>
                <c:pt idx="10">
                  <c:v>67031.631929099676</c:v>
                </c:pt>
                <c:pt idx="12">
                  <c:v>44587.220125613137</c:v>
                </c:pt>
                <c:pt idx="13">
                  <c:v>43587.2467938478</c:v>
                </c:pt>
                <c:pt idx="14">
                  <c:v>44342.078748103791</c:v>
                </c:pt>
                <c:pt idx="15">
                  <c:v>52780.398428948298</c:v>
                </c:pt>
                <c:pt idx="16">
                  <c:v>67031.631929099676</c:v>
                </c:pt>
                <c:pt idx="18">
                  <c:v>44587.220125613137</c:v>
                </c:pt>
                <c:pt idx="19">
                  <c:v>43587.2467938478</c:v>
                </c:pt>
                <c:pt idx="20">
                  <c:v>44342.078748103791</c:v>
                </c:pt>
                <c:pt idx="21">
                  <c:v>52780.398428948298</c:v>
                </c:pt>
                <c:pt idx="22">
                  <c:v>67031.631929099676</c:v>
                </c:pt>
              </c:numCache>
            </c:numRef>
          </c:val>
        </c:ser>
        <c:ser>
          <c:idx val="3"/>
          <c:order val="3"/>
          <c:tx>
            <c:strRef>
              <c:f>SUMMARY!$BW$114</c:f>
              <c:strCache>
                <c:ptCount val="1"/>
                <c:pt idx="0">
                  <c:v>Base Vehicle</c:v>
                </c:pt>
              </c:strCache>
            </c:strRef>
          </c:tx>
          <c:spPr>
            <a:solidFill>
              <a:schemeClr val="accent1">
                <a:lumMod val="75000"/>
              </a:schemeClr>
            </a:solidFill>
          </c:spPr>
          <c:cat>
            <c:multiLvlStrRef>
              <c:f>SUMMARY!$BR$115:$BS$137</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Vehicle
Cost Cases</c:v>
                  </c:pt>
                  <c:pt idx="11">
                    <c:v> </c:v>
                  </c:pt>
                  <c:pt idx="12">
                    <c:v>Gasoline
Price Cases</c:v>
                  </c:pt>
                  <c:pt idx="17">
                    <c:v> </c:v>
                  </c:pt>
                  <c:pt idx="18">
                    <c:v>Li-ion Batt.
Life Cases</c:v>
                  </c:pt>
                </c:lvl>
              </c:multiLvlStrCache>
            </c:multiLvlStrRef>
          </c:cat>
          <c:val>
            <c:numRef>
              <c:f>SUMMARY!$BW$115:$BW$137</c:f>
              <c:numCache>
                <c:formatCode>"$"#,##0</c:formatCode>
                <c:ptCount val="23"/>
                <c:pt idx="0">
                  <c:v>23019.490021615933</c:v>
                </c:pt>
                <c:pt idx="1">
                  <c:v>24799.941964129226</c:v>
                </c:pt>
                <c:pt idx="2">
                  <c:v>25665.680796868604</c:v>
                </c:pt>
                <c:pt idx="3">
                  <c:v>25728.873412397024</c:v>
                </c:pt>
                <c:pt idx="4">
                  <c:v>20496.524846643686</c:v>
                </c:pt>
              </c:numCache>
            </c:numRef>
          </c:val>
        </c:ser>
        <c:ser>
          <c:idx val="4"/>
          <c:order val="4"/>
          <c:tx>
            <c:strRef>
              <c:f>SUMMARY!$BX$114</c:f>
              <c:strCache>
                <c:ptCount val="1"/>
                <c:pt idx="0">
                  <c:v>Initial Battery</c:v>
                </c:pt>
              </c:strCache>
            </c:strRef>
          </c:tx>
          <c:spPr>
            <a:solidFill>
              <a:schemeClr val="accent1">
                <a:lumMod val="60000"/>
                <a:lumOff val="40000"/>
              </a:schemeClr>
            </a:solidFill>
          </c:spPr>
          <c:cat>
            <c:multiLvlStrRef>
              <c:f>SUMMARY!$BR$115:$BS$137</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Vehicle
Cost Cases</c:v>
                  </c:pt>
                  <c:pt idx="11">
                    <c:v> </c:v>
                  </c:pt>
                  <c:pt idx="12">
                    <c:v>Gasoline
Price Cases</c:v>
                  </c:pt>
                  <c:pt idx="17">
                    <c:v> </c:v>
                  </c:pt>
                  <c:pt idx="18">
                    <c:v>Li-ion Batt.
Life Cases</c:v>
                  </c:pt>
                </c:lvl>
              </c:multiLvlStrCache>
            </c:multiLvlStrRef>
          </c:cat>
          <c:val>
            <c:numRef>
              <c:f>SUMMARY!$BX$115:$BX$137</c:f>
              <c:numCache>
                <c:formatCode>"$"#,##0</c:formatCode>
                <c:ptCount val="23"/>
                <c:pt idx="0">
                  <c:v>0</c:v>
                </c:pt>
                <c:pt idx="1">
                  <c:v>2067.978343167611</c:v>
                </c:pt>
                <c:pt idx="2">
                  <c:v>2631.9724367587778</c:v>
                </c:pt>
                <c:pt idx="3">
                  <c:v>8730.0598352515044</c:v>
                </c:pt>
                <c:pt idx="4">
                  <c:v>31953.346041946596</c:v>
                </c:pt>
              </c:numCache>
            </c:numRef>
          </c:val>
        </c:ser>
        <c:ser>
          <c:idx val="5"/>
          <c:order val="5"/>
          <c:tx>
            <c:strRef>
              <c:f>SUMMARY!$BY$114</c:f>
              <c:strCache>
                <c:ptCount val="1"/>
                <c:pt idx="0">
                  <c:v>Replacement Battery</c:v>
                </c:pt>
              </c:strCache>
            </c:strRef>
          </c:tx>
          <c:spPr>
            <a:solidFill>
              <a:schemeClr val="accent1">
                <a:lumMod val="20000"/>
                <a:lumOff val="80000"/>
              </a:schemeClr>
            </a:solidFill>
          </c:spPr>
          <c:cat>
            <c:multiLvlStrRef>
              <c:f>SUMMARY!$BR$115:$BS$137</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Vehicle
Cost Cases</c:v>
                  </c:pt>
                  <c:pt idx="11">
                    <c:v> </c:v>
                  </c:pt>
                  <c:pt idx="12">
                    <c:v>Gasoline
Price Cases</c:v>
                  </c:pt>
                  <c:pt idx="17">
                    <c:v> </c:v>
                  </c:pt>
                  <c:pt idx="18">
                    <c:v>Li-ion Batt.
Life Cases</c:v>
                  </c:pt>
                </c:lvl>
              </c:multiLvlStrCache>
            </c:multiLvlStrRef>
          </c:cat>
          <c:val>
            <c:numRef>
              <c:f>SUMMARY!$BY$115:$BY$137</c:f>
              <c:numCache>
                <c:formatCode>"$"#,##0</c:formatCode>
                <c:ptCount val="23"/>
                <c:pt idx="0">
                  <c:v>0</c:v>
                </c:pt>
                <c:pt idx="1">
                  <c:v>0</c:v>
                </c:pt>
                <c:pt idx="2">
                  <c:v>0</c:v>
                </c:pt>
                <c:pt idx="3">
                  <c:v>0</c:v>
                </c:pt>
                <c:pt idx="4">
                  <c:v>0</c:v>
                </c:pt>
              </c:numCache>
            </c:numRef>
          </c:val>
        </c:ser>
        <c:ser>
          <c:idx val="6"/>
          <c:order val="6"/>
          <c:tx>
            <c:strRef>
              <c:f>SUMMARY!$BZ$114</c:f>
              <c:strCache>
                <c:ptCount val="1"/>
                <c:pt idx="0">
                  <c:v>Gasoline</c:v>
                </c:pt>
              </c:strCache>
            </c:strRef>
          </c:tx>
          <c:spPr>
            <a:solidFill>
              <a:schemeClr val="tx1">
                <a:lumMod val="75000"/>
                <a:lumOff val="25000"/>
              </a:schemeClr>
            </a:solidFill>
          </c:spPr>
          <c:cat>
            <c:multiLvlStrRef>
              <c:f>SUMMARY!$BR$115:$BS$137</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Vehicle
Cost Cases</c:v>
                  </c:pt>
                  <c:pt idx="11">
                    <c:v> </c:v>
                  </c:pt>
                  <c:pt idx="12">
                    <c:v>Gasoline
Price Cases</c:v>
                  </c:pt>
                  <c:pt idx="17">
                    <c:v> </c:v>
                  </c:pt>
                  <c:pt idx="18">
                    <c:v>Li-ion Batt.
Life Cases</c:v>
                  </c:pt>
                </c:lvl>
              </c:multiLvlStrCache>
            </c:multiLvlStrRef>
          </c:cat>
          <c:val>
            <c:numRef>
              <c:f>SUMMARY!$BZ$115:$BZ$137</c:f>
              <c:numCache>
                <c:formatCode>"$"#,##0</c:formatCode>
                <c:ptCount val="23"/>
                <c:pt idx="0">
                  <c:v>12386.239508244789</c:v>
                </c:pt>
                <c:pt idx="1">
                  <c:v>8847.3139344605643</c:v>
                </c:pt>
                <c:pt idx="2">
                  <c:v>7189.0614919024256</c:v>
                </c:pt>
                <c:pt idx="3">
                  <c:v>6226.4230100894329</c:v>
                </c:pt>
                <c:pt idx="4">
                  <c:v>0</c:v>
                </c:pt>
              </c:numCache>
            </c:numRef>
          </c:val>
        </c:ser>
        <c:ser>
          <c:idx val="7"/>
          <c:order val="7"/>
          <c:tx>
            <c:strRef>
              <c:f>SUMMARY!$CA$114</c:f>
              <c:strCache>
                <c:ptCount val="1"/>
                <c:pt idx="0">
                  <c:v>Electricity</c:v>
                </c:pt>
              </c:strCache>
            </c:strRef>
          </c:tx>
          <c:spPr>
            <a:solidFill>
              <a:srgbClr val="CCCC00"/>
            </a:solidFill>
          </c:spPr>
          <c:cat>
            <c:multiLvlStrRef>
              <c:f>SUMMARY!$BR$115:$BS$137</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Vehicle
Cost Cases</c:v>
                  </c:pt>
                  <c:pt idx="11">
                    <c:v> </c:v>
                  </c:pt>
                  <c:pt idx="12">
                    <c:v>Gasoline
Price Cases</c:v>
                  </c:pt>
                  <c:pt idx="17">
                    <c:v> </c:v>
                  </c:pt>
                  <c:pt idx="18">
                    <c:v>Li-ion Batt.
Life Cases</c:v>
                  </c:pt>
                </c:lvl>
              </c:multiLvlStrCache>
            </c:multiLvlStrRef>
          </c:cat>
          <c:val>
            <c:numRef>
              <c:f>SUMMARY!$CA$115:$CA$137</c:f>
              <c:numCache>
                <c:formatCode>"$"#,##0</c:formatCode>
                <c:ptCount val="23"/>
                <c:pt idx="0">
                  <c:v>0</c:v>
                </c:pt>
                <c:pt idx="1">
                  <c:v>0</c:v>
                </c:pt>
                <c:pt idx="2">
                  <c:v>787.62568701449754</c:v>
                </c:pt>
                <c:pt idx="3">
                  <c:v>2314.2026082352727</c:v>
                </c:pt>
                <c:pt idx="4">
                  <c:v>5281.9362399936672</c:v>
                </c:pt>
              </c:numCache>
            </c:numRef>
          </c:val>
        </c:ser>
        <c:ser>
          <c:idx val="8"/>
          <c:order val="8"/>
          <c:tx>
            <c:strRef>
              <c:f>SUMMARY!$CD$114</c:f>
              <c:strCache>
                <c:ptCount val="1"/>
                <c:pt idx="0">
                  <c:v>Air Emissions Damages</c:v>
                </c:pt>
              </c:strCache>
            </c:strRef>
          </c:tx>
          <c:spPr>
            <a:solidFill>
              <a:srgbClr val="C00000"/>
            </a:solidFill>
          </c:spPr>
          <c:cat>
            <c:multiLvlStrRef>
              <c:f>SUMMARY!$BR$115:$BS$137</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Vehicle
Cost Cases</c:v>
                  </c:pt>
                  <c:pt idx="11">
                    <c:v> </c:v>
                  </c:pt>
                  <c:pt idx="12">
                    <c:v>Gasoline
Price Cases</c:v>
                  </c:pt>
                  <c:pt idx="17">
                    <c:v> </c:v>
                  </c:pt>
                  <c:pt idx="18">
                    <c:v>Li-ion Batt.
Life Cases</c:v>
                  </c:pt>
                </c:lvl>
              </c:multiLvlStrCache>
            </c:multiLvlStrRef>
          </c:cat>
          <c:val>
            <c:numRef>
              <c:f>SUMMARY!$CD$115:$CD$137</c:f>
              <c:numCache>
                <c:formatCode>"$"#,##0</c:formatCode>
                <c:ptCount val="23"/>
                <c:pt idx="0">
                  <c:v>3517.2943095706469</c:v>
                </c:pt>
                <c:pt idx="1">
                  <c:v>2992.9127558241985</c:v>
                </c:pt>
                <c:pt idx="2">
                  <c:v>2887.4067215758</c:v>
                </c:pt>
                <c:pt idx="3">
                  <c:v>3500.3170262031931</c:v>
                </c:pt>
                <c:pt idx="4">
                  <c:v>4667.4752102121438</c:v>
                </c:pt>
              </c:numCache>
            </c:numRef>
          </c:val>
        </c:ser>
        <c:gapWidth val="25"/>
        <c:overlap val="100"/>
        <c:axId val="131174400"/>
        <c:axId val="131175936"/>
      </c:barChart>
      <c:lineChart>
        <c:grouping val="standard"/>
        <c:ser>
          <c:idx val="1"/>
          <c:order val="1"/>
          <c:tx>
            <c:strRef>
              <c:f>SUMMARY!$BU$114</c:f>
              <c:strCache>
                <c:ptCount val="1"/>
                <c:pt idx="0">
                  <c:v>Low Case</c:v>
                </c:pt>
              </c:strCache>
            </c:strRef>
          </c:tx>
          <c:spPr>
            <a:ln w="25400">
              <a:prstDash val="sysDot"/>
            </a:ln>
          </c:spPr>
          <c:marker>
            <c:symbol val="none"/>
          </c:marker>
          <c:cat>
            <c:multiLvlStrRef>
              <c:f>SUMMARY!$BR$115:$BS$137</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Vehicle
Cost Cases</c:v>
                  </c:pt>
                  <c:pt idx="11">
                    <c:v> </c:v>
                  </c:pt>
                  <c:pt idx="12">
                    <c:v>Gasoline
Price Cases</c:v>
                  </c:pt>
                  <c:pt idx="17">
                    <c:v> </c:v>
                  </c:pt>
                  <c:pt idx="18">
                    <c:v>Li-ion Batt.
Life Cases</c:v>
                  </c:pt>
                </c:lvl>
              </c:multiLvlStrCache>
            </c:multiLvlStrRef>
          </c:cat>
          <c:val>
            <c:numRef>
              <c:f>SUMMARY!$BU$115:$BU$137</c:f>
              <c:numCache>
                <c:formatCode>"$"#,##0</c:formatCode>
                <c:ptCount val="23"/>
                <c:pt idx="6">
                  <c:v>44587.220125613137</c:v>
                </c:pt>
                <c:pt idx="7">
                  <c:v>43587.2467938478</c:v>
                </c:pt>
                <c:pt idx="8">
                  <c:v>44342.078748103791</c:v>
                </c:pt>
                <c:pt idx="9">
                  <c:v>52780.398428948298</c:v>
                </c:pt>
                <c:pt idx="10">
                  <c:v>67031.631929099676</c:v>
                </c:pt>
                <c:pt idx="12">
                  <c:v>39360.19414167761</c:v>
                </c:pt>
                <c:pt idx="13">
                  <c:v>39853.656805322425</c:v>
                </c:pt>
                <c:pt idx="14">
                  <c:v>41308.275696477736</c:v>
                </c:pt>
                <c:pt idx="15">
                  <c:v>50152.831374472422</c:v>
                </c:pt>
                <c:pt idx="16">
                  <c:v>67031.631929099676</c:v>
                </c:pt>
                <c:pt idx="18">
                  <c:v>44587.220125613137</c:v>
                </c:pt>
                <c:pt idx="19">
                  <c:v>43587.2467938478</c:v>
                </c:pt>
                <c:pt idx="20">
                  <c:v>46089.27864434931</c:v>
                </c:pt>
                <c:pt idx="21">
                  <c:v>58585.731268367657</c:v>
                </c:pt>
                <c:pt idx="22">
                  <c:v>88398.370684618218</c:v>
                </c:pt>
              </c:numCache>
            </c:numRef>
          </c:val>
        </c:ser>
        <c:ser>
          <c:idx val="2"/>
          <c:order val="2"/>
          <c:tx>
            <c:strRef>
              <c:f>SUMMARY!$BV$114</c:f>
              <c:strCache>
                <c:ptCount val="1"/>
                <c:pt idx="0">
                  <c:v>High Case</c:v>
                </c:pt>
              </c:strCache>
            </c:strRef>
          </c:tx>
          <c:spPr>
            <a:ln w="25400">
              <a:solidFill>
                <a:schemeClr val="tx2"/>
              </a:solidFill>
              <a:prstDash val="sysDot"/>
            </a:ln>
          </c:spPr>
          <c:marker>
            <c:symbol val="none"/>
          </c:marker>
          <c:cat>
            <c:multiLvlStrRef>
              <c:f>SUMMARY!$BR$115:$BS$137</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Vehicle
Cost Cases</c:v>
                  </c:pt>
                  <c:pt idx="11">
                    <c:v> </c:v>
                  </c:pt>
                  <c:pt idx="12">
                    <c:v>Gasoline
Price Cases</c:v>
                  </c:pt>
                  <c:pt idx="17">
                    <c:v> </c:v>
                  </c:pt>
                  <c:pt idx="18">
                    <c:v>Li-ion Batt.
Life Cases</c:v>
                  </c:pt>
                </c:lvl>
              </c:multiLvlStrCache>
            </c:multiLvlStrRef>
          </c:cat>
          <c:val>
            <c:numRef>
              <c:f>SUMMARY!$BV$115:$BV$137</c:f>
              <c:numCache>
                <c:formatCode>"$"#,##0</c:formatCode>
                <c:ptCount val="23"/>
                <c:pt idx="6">
                  <c:v>44587.74673074254</c:v>
                </c:pt>
                <c:pt idx="7">
                  <c:v>42933.72982825803</c:v>
                </c:pt>
                <c:pt idx="8">
                  <c:v>42682.219380223913</c:v>
                </c:pt>
                <c:pt idx="9">
                  <c:v>46748.663276760417</c:v>
                </c:pt>
                <c:pt idx="10">
                  <c:v>45150.13559212473</c:v>
                </c:pt>
                <c:pt idx="12">
                  <c:v>50454.723779349326</c:v>
                </c:pt>
                <c:pt idx="13">
                  <c:v>47778.320832230791</c:v>
                </c:pt>
                <c:pt idx="14">
                  <c:v>47747.619593862</c:v>
                </c:pt>
                <c:pt idx="15">
                  <c:v>55729.926389964116</c:v>
                </c:pt>
                <c:pt idx="16">
                  <c:v>67031.631929099676</c:v>
                </c:pt>
                <c:pt idx="18">
                  <c:v>44587.220125613137</c:v>
                </c:pt>
                <c:pt idx="19">
                  <c:v>43587.2467938478</c:v>
                </c:pt>
                <c:pt idx="20">
                  <c:v>44342.078748103791</c:v>
                </c:pt>
                <c:pt idx="21">
                  <c:v>52780.398428948298</c:v>
                </c:pt>
                <c:pt idx="22">
                  <c:v>67031.631929099676</c:v>
                </c:pt>
              </c:numCache>
            </c:numRef>
          </c:val>
        </c:ser>
        <c:marker val="1"/>
        <c:axId val="131174400"/>
        <c:axId val="131175936"/>
      </c:lineChart>
      <c:catAx>
        <c:axId val="131174400"/>
        <c:scaling>
          <c:orientation val="minMax"/>
        </c:scaling>
        <c:axPos val="b"/>
        <c:majorTickMark val="none"/>
        <c:tickLblPos val="nextTo"/>
        <c:crossAx val="131175936"/>
        <c:crosses val="autoZero"/>
        <c:auto val="1"/>
        <c:lblAlgn val="ctr"/>
        <c:lblOffset val="100"/>
      </c:catAx>
      <c:valAx>
        <c:axId val="131175936"/>
        <c:scaling>
          <c:orientation val="minMax"/>
          <c:max val="80000"/>
        </c:scaling>
        <c:axPos val="l"/>
        <c:majorGridlines/>
        <c:numFmt formatCode="&quot;$&quot;#,##0" sourceLinked="1"/>
        <c:tickLblPos val="nextTo"/>
        <c:crossAx val="131174400"/>
        <c:crosses val="autoZero"/>
        <c:crossBetween val="between"/>
        <c:majorUnit val="20000"/>
      </c:valAx>
    </c:plotArea>
    <c:legend>
      <c:legendPos val="r"/>
      <c:layout>
        <c:manualLayout>
          <c:xMode val="edge"/>
          <c:yMode val="edge"/>
          <c:x val="0.77441948173089081"/>
          <c:y val="0.16744657366153701"/>
          <c:w val="0.22549804232248533"/>
          <c:h val="0.42990992951383694"/>
        </c:manualLayout>
      </c:layout>
    </c:legend>
    <c:plotVisOnly val="1"/>
    <c:dispBlanksAs val="gap"/>
  </c:chart>
  <c:spPr>
    <a:ln>
      <a:noFill/>
    </a:ln>
  </c:spPr>
  <c:printSettings>
    <c:headerFooter/>
    <c:pageMargins b="0.75000000000000844" l="0.70000000000000062" r="0.70000000000000062" t="0.750000000000008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a:pPr>
            <a:r>
              <a:rPr lang="en-US" sz="1600"/>
              <a:t>NPV of Lifetime Costs w/ Sensitivity Analysis</a:t>
            </a:r>
          </a:p>
        </c:rich>
      </c:tx>
      <c:layout>
        <c:manualLayout>
          <c:xMode val="edge"/>
          <c:yMode val="edge"/>
          <c:x val="0.33219663810301858"/>
          <c:y val="1.2398950131233596E-2"/>
        </c:manualLayout>
      </c:layout>
    </c:title>
    <c:plotArea>
      <c:layout>
        <c:manualLayout>
          <c:layoutTarget val="inner"/>
          <c:xMode val="edge"/>
          <c:yMode val="edge"/>
          <c:x val="5.2657893836817106E-2"/>
          <c:y val="0.13141967611942298"/>
          <c:w val="0.78598282960790322"/>
          <c:h val="0.52200787186840825"/>
        </c:manualLayout>
      </c:layout>
      <c:barChart>
        <c:barDir val="col"/>
        <c:grouping val="stacked"/>
        <c:ser>
          <c:idx val="0"/>
          <c:order val="0"/>
          <c:tx>
            <c:strRef>
              <c:f>SUMMARY!$BT$25</c:f>
              <c:strCache>
                <c:ptCount val="1"/>
                <c:pt idx="0">
                  <c:v>Base Case</c:v>
                </c:pt>
              </c:strCache>
            </c:strRef>
          </c:tx>
          <c:spPr>
            <a:solidFill>
              <a:schemeClr val="bg1">
                <a:lumMod val="85000"/>
              </a:schemeClr>
            </a:solidFill>
            <a:ln>
              <a:solidFill>
                <a:schemeClr val="bg1">
                  <a:lumMod val="65000"/>
                </a:schemeClr>
              </a:solidFill>
            </a:ln>
          </c:spPr>
          <c:errBars>
            <c:errBarType val="both"/>
            <c:errValType val="cust"/>
            <c:plus>
              <c:numRef>
                <c:f>SUMMARY!$CG$26:$CG$90</c:f>
                <c:numCache>
                  <c:formatCode>General</c:formatCode>
                  <c:ptCount val="65"/>
                  <c:pt idx="6">
                    <c:v>0</c:v>
                  </c:pt>
                  <c:pt idx="7">
                    <c:v>0</c:v>
                  </c:pt>
                  <c:pt idx="8">
                    <c:v>0</c:v>
                  </c:pt>
                  <c:pt idx="9">
                    <c:v>0</c:v>
                  </c:pt>
                  <c:pt idx="10">
                    <c:v>0</c:v>
                  </c:pt>
                  <c:pt idx="12">
                    <c:v>1896.0850000554419</c:v>
                  </c:pt>
                  <c:pt idx="13">
                    <c:v>1771.7685498262363</c:v>
                  </c:pt>
                  <c:pt idx="14">
                    <c:v>1346.85436250567</c:v>
                  </c:pt>
                  <c:pt idx="15">
                    <c:v>1075.8013180401758</c:v>
                  </c:pt>
                  <c:pt idx="16">
                    <c:v>275.06482555513503</c:v>
                  </c:pt>
                  <c:pt idx="18">
                    <c:v>0.52660512940201443</c:v>
                  </c:pt>
                  <c:pt idx="19">
                    <c:v>-653.51696558976982</c:v>
                  </c:pt>
                  <c:pt idx="20">
                    <c:v>-1659.8593678798788</c:v>
                  </c:pt>
                  <c:pt idx="21">
                    <c:v>-6031.7351521878809</c:v>
                  </c:pt>
                  <c:pt idx="22">
                    <c:v>-21881.496336974946</c:v>
                  </c:pt>
                  <c:pt idx="24">
                    <c:v>5867.5036537361884</c:v>
                  </c:pt>
                  <c:pt idx="25">
                    <c:v>4191.0740383829907</c:v>
                  </c:pt>
                  <c:pt idx="26">
                    <c:v>3405.5408457582089</c:v>
                  </c:pt>
                  <c:pt idx="27">
                    <c:v>2949.5279610158177</c:v>
                  </c:pt>
                  <c:pt idx="28">
                    <c:v>0</c:v>
                  </c:pt>
                  <c:pt idx="30">
                    <c:v>0</c:v>
                  </c:pt>
                  <c:pt idx="31">
                    <c:v>0</c:v>
                  </c:pt>
                  <c:pt idx="32">
                    <c:v>47.215529425222485</c:v>
                  </c:pt>
                  <c:pt idx="33">
                    <c:v>138.72871739268885</c:v>
                  </c:pt>
                  <c:pt idx="34">
                    <c:v>316.63443698349874</c:v>
                  </c:pt>
                  <c:pt idx="36">
                    <c:v>4724.3955723024046</c:v>
                  </c:pt>
                  <c:pt idx="37">
                    <c:v>3577.9883748263601</c:v>
                  </c:pt>
                  <c:pt idx="38">
                    <c:v>3432.3108820957204</c:v>
                  </c:pt>
                  <c:pt idx="39">
                    <c:v>4045.8351978577048</c:v>
                  </c:pt>
                  <c:pt idx="40">
                    <c:v>4255.5373357618373</c:v>
                  </c:pt>
                  <c:pt idx="42">
                    <c:v>711.98495521188306</c:v>
                  </c:pt>
                  <c:pt idx="43">
                    <c:v>508.56068229420634</c:v>
                  </c:pt>
                  <c:pt idx="44">
                    <c:v>413.24113108910387</c:v>
                  </c:pt>
                  <c:pt idx="45">
                    <c:v>357.9068130418309</c:v>
                  </c:pt>
                  <c:pt idx="46">
                    <c:v>0</c:v>
                  </c:pt>
                  <c:pt idx="48">
                    <c:v>885.12752228319732</c:v>
                  </c:pt>
                  <c:pt idx="49">
                    <c:v>632.23394448799809</c:v>
                  </c:pt>
                  <c:pt idx="50">
                    <c:v>513.73430827278207</c:v>
                  </c:pt>
                  <c:pt idx="51">
                    <c:v>444.94363022279867</c:v>
                  </c:pt>
                  <c:pt idx="52">
                    <c:v>0</c:v>
                  </c:pt>
                  <c:pt idx="54">
                    <c:v>479.89076039711654</c:v>
                  </c:pt>
                  <c:pt idx="55">
                    <c:v>342.77911456936999</c:v>
                  </c:pt>
                  <c:pt idx="56">
                    <c:v>278.53200994493091</c:v>
                  </c:pt>
                  <c:pt idx="57">
                    <c:v>241.23567696854298</c:v>
                  </c:pt>
                  <c:pt idx="58">
                    <c:v>0</c:v>
                  </c:pt>
                  <c:pt idx="60">
                    <c:v>-8717.9550642792528</c:v>
                  </c:pt>
                  <c:pt idx="61">
                    <c:v>-6616.956061086923</c:v>
                  </c:pt>
                  <c:pt idx="62">
                    <c:v>-5817.6759005179483</c:v>
                  </c:pt>
                  <c:pt idx="63">
                    <c:v>-6130.8636522529414</c:v>
                  </c:pt>
                  <c:pt idx="64">
                    <c:v>-3990.310512608361</c:v>
                  </c:pt>
                </c:numCache>
              </c:numRef>
            </c:plus>
            <c:minus>
              <c:numRef>
                <c:f>SUMMARY!$CF$26:$CF$90</c:f>
                <c:numCache>
                  <c:formatCode>General</c:formatCode>
                  <c:ptCount val="65"/>
                  <c:pt idx="6">
                    <c:v>0</c:v>
                  </c:pt>
                  <c:pt idx="7">
                    <c:v>0</c:v>
                  </c:pt>
                  <c:pt idx="8">
                    <c:v>-1747.1998962455182</c:v>
                  </c:pt>
                  <c:pt idx="9">
                    <c:v>-5805.3328394193595</c:v>
                  </c:pt>
                  <c:pt idx="10">
                    <c:v>-21366.738755518541</c:v>
                  </c:pt>
                  <c:pt idx="12">
                    <c:v>497.74766738222388</c:v>
                  </c:pt>
                  <c:pt idx="13">
                    <c:v>468.63637648186705</c:v>
                  </c:pt>
                  <c:pt idx="14">
                    <c:v>354.73937625189865</c:v>
                  </c:pt>
                  <c:pt idx="15">
                    <c:v>282.08440357966174</c:v>
                  </c:pt>
                  <c:pt idx="16">
                    <c:v>67.449337982499856</c:v>
                  </c:pt>
                  <c:pt idx="18">
                    <c:v>0</c:v>
                  </c:pt>
                  <c:pt idx="19">
                    <c:v>0</c:v>
                  </c:pt>
                  <c:pt idx="20">
                    <c:v>0</c:v>
                  </c:pt>
                  <c:pt idx="21">
                    <c:v>0</c:v>
                  </c:pt>
                  <c:pt idx="22">
                    <c:v>0</c:v>
                  </c:pt>
                  <c:pt idx="24">
                    <c:v>5227.0259839355276</c:v>
                  </c:pt>
                  <c:pt idx="25">
                    <c:v>3733.5899885253748</c:v>
                  </c:pt>
                  <c:pt idx="26">
                    <c:v>3033.8030516260551</c:v>
                  </c:pt>
                  <c:pt idx="27">
                    <c:v>2627.5670544758759</c:v>
                  </c:pt>
                  <c:pt idx="28">
                    <c:v>0</c:v>
                  </c:pt>
                  <c:pt idx="30">
                    <c:v>0</c:v>
                  </c:pt>
                  <c:pt idx="31">
                    <c:v>0</c:v>
                  </c:pt>
                  <c:pt idx="32">
                    <c:v>85.00227516846644</c:v>
                  </c:pt>
                  <c:pt idx="33">
                    <c:v>249.75377281870169</c:v>
                  </c:pt>
                  <c:pt idx="34">
                    <c:v>570.03803341669845</c:v>
                  </c:pt>
                  <c:pt idx="36">
                    <c:v>1349.8273063721135</c:v>
                  </c:pt>
                  <c:pt idx="37">
                    <c:v>1022.2823928075304</c:v>
                  </c:pt>
                  <c:pt idx="38">
                    <c:v>980.66025202734454</c:v>
                  </c:pt>
                  <c:pt idx="39">
                    <c:v>1155.952913673631</c:v>
                  </c:pt>
                  <c:pt idx="40">
                    <c:v>1215.8678102176636</c:v>
                  </c:pt>
                  <c:pt idx="42">
                    <c:v>335.57912294287962</c:v>
                  </c:pt>
                  <c:pt idx="43">
                    <c:v>239.69937353062414</c:v>
                  </c:pt>
                  <c:pt idx="44">
                    <c:v>194.77250933417963</c:v>
                  </c:pt>
                  <c:pt idx="45">
                    <c:v>168.69184318665793</c:v>
                  </c:pt>
                  <c:pt idx="46">
                    <c:v>0</c:v>
                  </c:pt>
                  <c:pt idx="48">
                    <c:v>558.09619562909211</c:v>
                  </c:pt>
                  <c:pt idx="49">
                    <c:v>398.64013973506371</c:v>
                  </c:pt>
                  <c:pt idx="50">
                    <c:v>323.92300068988698</c:v>
                  </c:pt>
                  <c:pt idx="51">
                    <c:v>280.54866789837979</c:v>
                  </c:pt>
                  <c:pt idx="52">
                    <c:v>0</c:v>
                  </c:pt>
                  <c:pt idx="54">
                    <c:v>0</c:v>
                  </c:pt>
                  <c:pt idx="55">
                    <c:v>0</c:v>
                  </c:pt>
                  <c:pt idx="56">
                    <c:v>0</c:v>
                  </c:pt>
                  <c:pt idx="57">
                    <c:v>0</c:v>
                  </c:pt>
                  <c:pt idx="58">
                    <c:v>0</c:v>
                  </c:pt>
                  <c:pt idx="60">
                    <c:v>-6889.7154083952992</c:v>
                  </c:pt>
                  <c:pt idx="61">
                    <c:v>-5225.9366332774371</c:v>
                  </c:pt>
                  <c:pt idx="62">
                    <c:v>-4596.0169009691526</c:v>
                  </c:pt>
                  <c:pt idx="63">
                    <c:v>-4844.3450613606838</c:v>
                  </c:pt>
                  <c:pt idx="64">
                    <c:v>-3163.9323190371215</c:v>
                  </c:pt>
                </c:numCache>
              </c:numRef>
            </c:minus>
            <c:spPr>
              <a:ln w="12700">
                <a:solidFill>
                  <a:sysClr val="windowText" lastClr="000000"/>
                </a:solidFill>
              </a:ln>
            </c:spPr>
          </c:errBars>
          <c:cat>
            <c:multiLvlStrRef>
              <c:f>SUMMARY!$BR$26:$BS$90</c:f>
              <c:multiLvlStrCache>
                <c:ptCount val="65"/>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lvl>
                <c:lvl>
                  <c:pt idx="0">
                    <c:v>Base
Case </c:v>
                  </c:pt>
                  <c:pt idx="5">
                    <c:v> </c:v>
                  </c:pt>
                  <c:pt idx="6">
                    <c:v>Li-ion Batt.
Life Cases</c:v>
                  </c:pt>
                  <c:pt idx="11">
                    <c:v> </c:v>
                  </c:pt>
                  <c:pt idx="12">
                    <c:v>Driving Lo-cation Cases</c:v>
                  </c:pt>
                  <c:pt idx="17">
                    <c:v> </c:v>
                  </c:pt>
                  <c:pt idx="18">
                    <c:v>Vehicle
Cost Cases</c:v>
                  </c:pt>
                  <c:pt idx="23">
                    <c:v> </c:v>
                  </c:pt>
                  <c:pt idx="24">
                    <c:v>Gasoline
Price Cases</c:v>
                  </c:pt>
                  <c:pt idx="29">
                    <c:v> </c:v>
                  </c:pt>
                  <c:pt idx="30">
                    <c:v>Electricity 
Price Cases</c:v>
                  </c:pt>
                  <c:pt idx="35">
                    <c:v> </c:v>
                  </c:pt>
                  <c:pt idx="36">
                    <c:v>GHG Value Cases</c:v>
                  </c:pt>
                  <c:pt idx="41">
                    <c:v> </c:v>
                  </c:pt>
                  <c:pt idx="42">
                    <c:v>Oil Disrup-
tion Cases</c:v>
                  </c:pt>
                  <c:pt idx="47">
                    <c:v> </c:v>
                  </c:pt>
                  <c:pt idx="48">
                    <c:v>Oil Monop-sony Cases</c:v>
                  </c:pt>
                  <c:pt idx="53">
                    <c:v> </c:v>
                  </c:pt>
                  <c:pt idx="54">
                    <c:v>Oil Military Cases</c:v>
                  </c:pt>
                  <c:pt idx="59">
                    <c:v> </c:v>
                  </c:pt>
                  <c:pt idx="60">
                    <c:v>Discount 
Rate Cases</c:v>
                  </c:pt>
                </c:lvl>
              </c:multiLvlStrCache>
            </c:multiLvlStrRef>
          </c:cat>
          <c:val>
            <c:numRef>
              <c:f>SUMMARY!$BT$26:$BT$90</c:f>
              <c:numCache>
                <c:formatCode>"$"#,##0</c:formatCode>
                <c:ptCount val="65"/>
                <c:pt idx="6">
                  <c:v>44587.220125613137</c:v>
                </c:pt>
                <c:pt idx="7">
                  <c:v>43587.2467938478</c:v>
                </c:pt>
                <c:pt idx="8">
                  <c:v>44342.078748103791</c:v>
                </c:pt>
                <c:pt idx="9">
                  <c:v>52780.398428948298</c:v>
                </c:pt>
                <c:pt idx="10">
                  <c:v>67031.631929099676</c:v>
                </c:pt>
                <c:pt idx="12">
                  <c:v>44587.220125613137</c:v>
                </c:pt>
                <c:pt idx="13">
                  <c:v>43587.2467938478</c:v>
                </c:pt>
                <c:pt idx="14">
                  <c:v>44342.078748103791</c:v>
                </c:pt>
                <c:pt idx="15">
                  <c:v>52780.398428948298</c:v>
                </c:pt>
                <c:pt idx="16">
                  <c:v>67031.631929099676</c:v>
                </c:pt>
                <c:pt idx="18">
                  <c:v>44587.220125613137</c:v>
                </c:pt>
                <c:pt idx="19">
                  <c:v>43587.2467938478</c:v>
                </c:pt>
                <c:pt idx="20">
                  <c:v>44342.078748103791</c:v>
                </c:pt>
                <c:pt idx="21">
                  <c:v>52780.398428948298</c:v>
                </c:pt>
                <c:pt idx="22">
                  <c:v>67031.631929099676</c:v>
                </c:pt>
                <c:pt idx="24">
                  <c:v>44587.220125613137</c:v>
                </c:pt>
                <c:pt idx="25">
                  <c:v>43587.2467938478</c:v>
                </c:pt>
                <c:pt idx="26">
                  <c:v>44342.078748103791</c:v>
                </c:pt>
                <c:pt idx="27">
                  <c:v>52780.398428948298</c:v>
                </c:pt>
                <c:pt idx="28">
                  <c:v>67031.631929099676</c:v>
                </c:pt>
                <c:pt idx="30">
                  <c:v>44587.220125613137</c:v>
                </c:pt>
                <c:pt idx="31">
                  <c:v>43587.2467938478</c:v>
                </c:pt>
                <c:pt idx="32">
                  <c:v>44342.078748103791</c:v>
                </c:pt>
                <c:pt idx="33">
                  <c:v>52780.398428948298</c:v>
                </c:pt>
                <c:pt idx="34">
                  <c:v>67031.631929099676</c:v>
                </c:pt>
                <c:pt idx="36">
                  <c:v>44587.220125613137</c:v>
                </c:pt>
                <c:pt idx="37">
                  <c:v>43587.2467938478</c:v>
                </c:pt>
                <c:pt idx="38">
                  <c:v>44342.078748103791</c:v>
                </c:pt>
                <c:pt idx="39">
                  <c:v>52780.398428948298</c:v>
                </c:pt>
                <c:pt idx="40">
                  <c:v>67031.631929099676</c:v>
                </c:pt>
                <c:pt idx="42">
                  <c:v>44587.220125613137</c:v>
                </c:pt>
                <c:pt idx="43">
                  <c:v>43587.2467938478</c:v>
                </c:pt>
                <c:pt idx="44">
                  <c:v>44342.078748103791</c:v>
                </c:pt>
                <c:pt idx="45">
                  <c:v>52780.398428948298</c:v>
                </c:pt>
                <c:pt idx="46">
                  <c:v>67031.631929099676</c:v>
                </c:pt>
                <c:pt idx="48">
                  <c:v>44587.220125613137</c:v>
                </c:pt>
                <c:pt idx="49">
                  <c:v>43587.2467938478</c:v>
                </c:pt>
                <c:pt idx="50">
                  <c:v>44342.078748103791</c:v>
                </c:pt>
                <c:pt idx="51">
                  <c:v>52780.398428948298</c:v>
                </c:pt>
                <c:pt idx="52">
                  <c:v>67031.631929099676</c:v>
                </c:pt>
                <c:pt idx="54">
                  <c:v>44587.220125613137</c:v>
                </c:pt>
                <c:pt idx="55">
                  <c:v>43587.2467938478</c:v>
                </c:pt>
                <c:pt idx="56">
                  <c:v>44342.078748103791</c:v>
                </c:pt>
                <c:pt idx="57">
                  <c:v>52780.398428948298</c:v>
                </c:pt>
                <c:pt idx="58">
                  <c:v>67031.631929099676</c:v>
                </c:pt>
                <c:pt idx="60">
                  <c:v>44587.220125613137</c:v>
                </c:pt>
                <c:pt idx="61">
                  <c:v>43587.2467938478</c:v>
                </c:pt>
                <c:pt idx="62">
                  <c:v>44342.078748103791</c:v>
                </c:pt>
                <c:pt idx="63">
                  <c:v>52780.398428948298</c:v>
                </c:pt>
                <c:pt idx="64">
                  <c:v>67031.631929099676</c:v>
                </c:pt>
              </c:numCache>
            </c:numRef>
          </c:val>
        </c:ser>
        <c:ser>
          <c:idx val="3"/>
          <c:order val="3"/>
          <c:tx>
            <c:strRef>
              <c:f>SUMMARY!$BW$25</c:f>
              <c:strCache>
                <c:ptCount val="1"/>
                <c:pt idx="0">
                  <c:v>Base Vehicle</c:v>
                </c:pt>
              </c:strCache>
            </c:strRef>
          </c:tx>
          <c:spPr>
            <a:solidFill>
              <a:schemeClr val="accent1">
                <a:lumMod val="75000"/>
              </a:schemeClr>
            </a:solidFill>
          </c:spPr>
          <c:cat>
            <c:multiLvlStrRef>
              <c:f>SUMMARY!$BR$26:$BS$90</c:f>
              <c:multiLvlStrCache>
                <c:ptCount val="65"/>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lvl>
                <c:lvl>
                  <c:pt idx="0">
                    <c:v>Base
Case </c:v>
                  </c:pt>
                  <c:pt idx="5">
                    <c:v> </c:v>
                  </c:pt>
                  <c:pt idx="6">
                    <c:v>Li-ion Batt.
Life Cases</c:v>
                  </c:pt>
                  <c:pt idx="11">
                    <c:v> </c:v>
                  </c:pt>
                  <c:pt idx="12">
                    <c:v>Driving Lo-cation Cases</c:v>
                  </c:pt>
                  <c:pt idx="17">
                    <c:v> </c:v>
                  </c:pt>
                  <c:pt idx="18">
                    <c:v>Vehicle
Cost Cases</c:v>
                  </c:pt>
                  <c:pt idx="23">
                    <c:v> </c:v>
                  </c:pt>
                  <c:pt idx="24">
                    <c:v>Gasoline
Price Cases</c:v>
                  </c:pt>
                  <c:pt idx="29">
                    <c:v> </c:v>
                  </c:pt>
                  <c:pt idx="30">
                    <c:v>Electricity 
Price Cases</c:v>
                  </c:pt>
                  <c:pt idx="35">
                    <c:v> </c:v>
                  </c:pt>
                  <c:pt idx="36">
                    <c:v>GHG Value Cases</c:v>
                  </c:pt>
                  <c:pt idx="41">
                    <c:v> </c:v>
                  </c:pt>
                  <c:pt idx="42">
                    <c:v>Oil Disrup-
tion Cases</c:v>
                  </c:pt>
                  <c:pt idx="47">
                    <c:v> </c:v>
                  </c:pt>
                  <c:pt idx="48">
                    <c:v>Oil Monop-sony Cases</c:v>
                  </c:pt>
                  <c:pt idx="53">
                    <c:v> </c:v>
                  </c:pt>
                  <c:pt idx="54">
                    <c:v>Oil Military Cases</c:v>
                  </c:pt>
                  <c:pt idx="59">
                    <c:v> </c:v>
                  </c:pt>
                  <c:pt idx="60">
                    <c:v>Discount 
Rate Cases</c:v>
                  </c:pt>
                </c:lvl>
              </c:multiLvlStrCache>
            </c:multiLvlStrRef>
          </c:cat>
          <c:val>
            <c:numRef>
              <c:f>SUMMARY!$BW$26:$BW$90</c:f>
              <c:numCache>
                <c:formatCode>"$"#,##0</c:formatCode>
                <c:ptCount val="65"/>
                <c:pt idx="0">
                  <c:v>23019.490021615933</c:v>
                </c:pt>
                <c:pt idx="1">
                  <c:v>24799.941964129226</c:v>
                </c:pt>
                <c:pt idx="2">
                  <c:v>25665.680796868604</c:v>
                </c:pt>
                <c:pt idx="3">
                  <c:v>25728.873412397024</c:v>
                </c:pt>
                <c:pt idx="4">
                  <c:v>20496.524846643686</c:v>
                </c:pt>
              </c:numCache>
            </c:numRef>
          </c:val>
        </c:ser>
        <c:ser>
          <c:idx val="4"/>
          <c:order val="4"/>
          <c:tx>
            <c:strRef>
              <c:f>SUMMARY!$BX$25</c:f>
              <c:strCache>
                <c:ptCount val="1"/>
                <c:pt idx="0">
                  <c:v>Initial Battery</c:v>
                </c:pt>
              </c:strCache>
            </c:strRef>
          </c:tx>
          <c:spPr>
            <a:solidFill>
              <a:schemeClr val="accent1">
                <a:lumMod val="60000"/>
                <a:lumOff val="40000"/>
              </a:schemeClr>
            </a:solidFill>
          </c:spPr>
          <c:cat>
            <c:multiLvlStrRef>
              <c:f>SUMMARY!$BR$26:$BS$90</c:f>
              <c:multiLvlStrCache>
                <c:ptCount val="65"/>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lvl>
                <c:lvl>
                  <c:pt idx="0">
                    <c:v>Base
Case </c:v>
                  </c:pt>
                  <c:pt idx="5">
                    <c:v> </c:v>
                  </c:pt>
                  <c:pt idx="6">
                    <c:v>Li-ion Batt.
Life Cases</c:v>
                  </c:pt>
                  <c:pt idx="11">
                    <c:v> </c:v>
                  </c:pt>
                  <c:pt idx="12">
                    <c:v>Driving Lo-cation Cases</c:v>
                  </c:pt>
                  <c:pt idx="17">
                    <c:v> </c:v>
                  </c:pt>
                  <c:pt idx="18">
                    <c:v>Vehicle
Cost Cases</c:v>
                  </c:pt>
                  <c:pt idx="23">
                    <c:v> </c:v>
                  </c:pt>
                  <c:pt idx="24">
                    <c:v>Gasoline
Price Cases</c:v>
                  </c:pt>
                  <c:pt idx="29">
                    <c:v> </c:v>
                  </c:pt>
                  <c:pt idx="30">
                    <c:v>Electricity 
Price Cases</c:v>
                  </c:pt>
                  <c:pt idx="35">
                    <c:v> </c:v>
                  </c:pt>
                  <c:pt idx="36">
                    <c:v>GHG Value Cases</c:v>
                  </c:pt>
                  <c:pt idx="41">
                    <c:v> </c:v>
                  </c:pt>
                  <c:pt idx="42">
                    <c:v>Oil Disrup-
tion Cases</c:v>
                  </c:pt>
                  <c:pt idx="47">
                    <c:v> </c:v>
                  </c:pt>
                  <c:pt idx="48">
                    <c:v>Oil Monop-sony Cases</c:v>
                  </c:pt>
                  <c:pt idx="53">
                    <c:v> </c:v>
                  </c:pt>
                  <c:pt idx="54">
                    <c:v>Oil Military Cases</c:v>
                  </c:pt>
                  <c:pt idx="59">
                    <c:v> </c:v>
                  </c:pt>
                  <c:pt idx="60">
                    <c:v>Discount 
Rate Cases</c:v>
                  </c:pt>
                </c:lvl>
              </c:multiLvlStrCache>
            </c:multiLvlStrRef>
          </c:cat>
          <c:val>
            <c:numRef>
              <c:f>SUMMARY!$BX$26:$BX$90</c:f>
              <c:numCache>
                <c:formatCode>"$"#,##0</c:formatCode>
                <c:ptCount val="65"/>
                <c:pt idx="0">
                  <c:v>0</c:v>
                </c:pt>
                <c:pt idx="1">
                  <c:v>2067.978343167611</c:v>
                </c:pt>
                <c:pt idx="2">
                  <c:v>2631.9724367587778</c:v>
                </c:pt>
                <c:pt idx="3">
                  <c:v>8730.0598352515044</c:v>
                </c:pt>
                <c:pt idx="4">
                  <c:v>31953.346041946596</c:v>
                </c:pt>
              </c:numCache>
            </c:numRef>
          </c:val>
        </c:ser>
        <c:ser>
          <c:idx val="5"/>
          <c:order val="5"/>
          <c:tx>
            <c:strRef>
              <c:f>SUMMARY!$BY$25</c:f>
              <c:strCache>
                <c:ptCount val="1"/>
                <c:pt idx="0">
                  <c:v>Replacement Battery</c:v>
                </c:pt>
              </c:strCache>
            </c:strRef>
          </c:tx>
          <c:spPr>
            <a:solidFill>
              <a:schemeClr val="accent1">
                <a:lumMod val="20000"/>
                <a:lumOff val="80000"/>
              </a:schemeClr>
            </a:solidFill>
          </c:spPr>
          <c:cat>
            <c:multiLvlStrRef>
              <c:f>SUMMARY!$BR$26:$BS$90</c:f>
              <c:multiLvlStrCache>
                <c:ptCount val="65"/>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lvl>
                <c:lvl>
                  <c:pt idx="0">
                    <c:v>Base
Case </c:v>
                  </c:pt>
                  <c:pt idx="5">
                    <c:v> </c:v>
                  </c:pt>
                  <c:pt idx="6">
                    <c:v>Li-ion Batt.
Life Cases</c:v>
                  </c:pt>
                  <c:pt idx="11">
                    <c:v> </c:v>
                  </c:pt>
                  <c:pt idx="12">
                    <c:v>Driving Lo-cation Cases</c:v>
                  </c:pt>
                  <c:pt idx="17">
                    <c:v> </c:v>
                  </c:pt>
                  <c:pt idx="18">
                    <c:v>Vehicle
Cost Cases</c:v>
                  </c:pt>
                  <c:pt idx="23">
                    <c:v> </c:v>
                  </c:pt>
                  <c:pt idx="24">
                    <c:v>Gasoline
Price Cases</c:v>
                  </c:pt>
                  <c:pt idx="29">
                    <c:v> </c:v>
                  </c:pt>
                  <c:pt idx="30">
                    <c:v>Electricity 
Price Cases</c:v>
                  </c:pt>
                  <c:pt idx="35">
                    <c:v> </c:v>
                  </c:pt>
                  <c:pt idx="36">
                    <c:v>GHG Value Cases</c:v>
                  </c:pt>
                  <c:pt idx="41">
                    <c:v> </c:v>
                  </c:pt>
                  <c:pt idx="42">
                    <c:v>Oil Disrup-
tion Cases</c:v>
                  </c:pt>
                  <c:pt idx="47">
                    <c:v> </c:v>
                  </c:pt>
                  <c:pt idx="48">
                    <c:v>Oil Monop-sony Cases</c:v>
                  </c:pt>
                  <c:pt idx="53">
                    <c:v> </c:v>
                  </c:pt>
                  <c:pt idx="54">
                    <c:v>Oil Military Cases</c:v>
                  </c:pt>
                  <c:pt idx="59">
                    <c:v> </c:v>
                  </c:pt>
                  <c:pt idx="60">
                    <c:v>Discount 
Rate Cases</c:v>
                  </c:pt>
                </c:lvl>
              </c:multiLvlStrCache>
            </c:multiLvlStrRef>
          </c:cat>
          <c:val>
            <c:numRef>
              <c:f>SUMMARY!$BY$26:$BY$90</c:f>
              <c:numCache>
                <c:formatCode>"$"#,##0</c:formatCode>
                <c:ptCount val="65"/>
                <c:pt idx="0">
                  <c:v>0</c:v>
                </c:pt>
                <c:pt idx="1">
                  <c:v>0</c:v>
                </c:pt>
                <c:pt idx="2">
                  <c:v>0</c:v>
                </c:pt>
                <c:pt idx="3">
                  <c:v>0</c:v>
                </c:pt>
                <c:pt idx="4">
                  <c:v>0</c:v>
                </c:pt>
              </c:numCache>
            </c:numRef>
          </c:val>
        </c:ser>
        <c:ser>
          <c:idx val="11"/>
          <c:order val="6"/>
          <c:tx>
            <c:strRef>
              <c:f>SUMMARY!$CC$25</c:f>
              <c:strCache>
                <c:ptCount val="1"/>
                <c:pt idx="0">
                  <c:v>Scheduled Maintenance</c:v>
                </c:pt>
              </c:strCache>
            </c:strRef>
          </c:tx>
          <c:spPr>
            <a:solidFill>
              <a:schemeClr val="accent4"/>
            </a:solidFill>
          </c:spPr>
          <c:val>
            <c:numRef>
              <c:f>SUMMARY!$CC$26:$CC$90</c:f>
              <c:numCache>
                <c:formatCode>"$"#,##0</c:formatCode>
                <c:ptCount val="65"/>
                <c:pt idx="0">
                  <c:v>4379.9559833068452</c:v>
                </c:pt>
                <c:pt idx="1">
                  <c:v>3961.7852942126851</c:v>
                </c:pt>
                <c:pt idx="2">
                  <c:v>3234.9494096753001</c:v>
                </c:pt>
                <c:pt idx="3">
                  <c:v>3234.9494096753001</c:v>
                </c:pt>
                <c:pt idx="4">
                  <c:v>2232.3495903035837</c:v>
                </c:pt>
              </c:numCache>
            </c:numRef>
          </c:val>
        </c:ser>
        <c:ser>
          <c:idx val="10"/>
          <c:order val="7"/>
          <c:tx>
            <c:strRef>
              <c:f>SUMMARY!$CB$25</c:f>
              <c:strCache>
                <c:ptCount val="1"/>
                <c:pt idx="0">
                  <c:v>Charger Cost</c:v>
                </c:pt>
              </c:strCache>
            </c:strRef>
          </c:tx>
          <c:spPr>
            <a:solidFill>
              <a:schemeClr val="accent6">
                <a:lumMod val="50000"/>
              </a:schemeClr>
            </a:solidFill>
          </c:spPr>
          <c:val>
            <c:numRef>
              <c:f>SUMMARY!$CB$26:$CB$90</c:f>
              <c:numCache>
                <c:formatCode>"$"#,##0</c:formatCode>
                <c:ptCount val="65"/>
                <c:pt idx="0">
                  <c:v>0</c:v>
                </c:pt>
                <c:pt idx="1">
                  <c:v>0</c:v>
                </c:pt>
                <c:pt idx="2">
                  <c:v>1200</c:v>
                </c:pt>
                <c:pt idx="3">
                  <c:v>2400</c:v>
                </c:pt>
                <c:pt idx="4">
                  <c:v>2400</c:v>
                </c:pt>
              </c:numCache>
            </c:numRef>
          </c:val>
        </c:ser>
        <c:ser>
          <c:idx val="7"/>
          <c:order val="8"/>
          <c:tx>
            <c:strRef>
              <c:f>SUMMARY!$CA$25</c:f>
              <c:strCache>
                <c:ptCount val="1"/>
                <c:pt idx="0">
                  <c:v>Electricity</c:v>
                </c:pt>
              </c:strCache>
            </c:strRef>
          </c:tx>
          <c:spPr>
            <a:solidFill>
              <a:srgbClr val="CCCC00"/>
            </a:solidFill>
          </c:spPr>
          <c:cat>
            <c:multiLvlStrRef>
              <c:f>SUMMARY!$BR$26:$BS$90</c:f>
              <c:multiLvlStrCache>
                <c:ptCount val="65"/>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lvl>
                <c:lvl>
                  <c:pt idx="0">
                    <c:v>Base
Case </c:v>
                  </c:pt>
                  <c:pt idx="5">
                    <c:v> </c:v>
                  </c:pt>
                  <c:pt idx="6">
                    <c:v>Li-ion Batt.
Life Cases</c:v>
                  </c:pt>
                  <c:pt idx="11">
                    <c:v> </c:v>
                  </c:pt>
                  <c:pt idx="12">
                    <c:v>Driving Lo-cation Cases</c:v>
                  </c:pt>
                  <c:pt idx="17">
                    <c:v> </c:v>
                  </c:pt>
                  <c:pt idx="18">
                    <c:v>Vehicle
Cost Cases</c:v>
                  </c:pt>
                  <c:pt idx="23">
                    <c:v> </c:v>
                  </c:pt>
                  <c:pt idx="24">
                    <c:v>Gasoline
Price Cases</c:v>
                  </c:pt>
                  <c:pt idx="29">
                    <c:v> </c:v>
                  </c:pt>
                  <c:pt idx="30">
                    <c:v>Electricity 
Price Cases</c:v>
                  </c:pt>
                  <c:pt idx="35">
                    <c:v> </c:v>
                  </c:pt>
                  <c:pt idx="36">
                    <c:v>GHG Value Cases</c:v>
                  </c:pt>
                  <c:pt idx="41">
                    <c:v> </c:v>
                  </c:pt>
                  <c:pt idx="42">
                    <c:v>Oil Disrup-
tion Cases</c:v>
                  </c:pt>
                  <c:pt idx="47">
                    <c:v> </c:v>
                  </c:pt>
                  <c:pt idx="48">
                    <c:v>Oil Monop-sony Cases</c:v>
                  </c:pt>
                  <c:pt idx="53">
                    <c:v> </c:v>
                  </c:pt>
                  <c:pt idx="54">
                    <c:v>Oil Military Cases</c:v>
                  </c:pt>
                  <c:pt idx="59">
                    <c:v> </c:v>
                  </c:pt>
                  <c:pt idx="60">
                    <c:v>Discount 
Rate Cases</c:v>
                  </c:pt>
                </c:lvl>
              </c:multiLvlStrCache>
            </c:multiLvlStrRef>
          </c:cat>
          <c:val>
            <c:numRef>
              <c:f>SUMMARY!$CA$26:$CA$90</c:f>
              <c:numCache>
                <c:formatCode>"$"#,##0</c:formatCode>
                <c:ptCount val="65"/>
                <c:pt idx="0">
                  <c:v>0</c:v>
                </c:pt>
                <c:pt idx="1">
                  <c:v>0</c:v>
                </c:pt>
                <c:pt idx="2">
                  <c:v>787.62568701449754</c:v>
                </c:pt>
                <c:pt idx="3">
                  <c:v>2314.2026082352727</c:v>
                </c:pt>
                <c:pt idx="4">
                  <c:v>5281.9362399936672</c:v>
                </c:pt>
              </c:numCache>
            </c:numRef>
          </c:val>
        </c:ser>
        <c:ser>
          <c:idx val="6"/>
          <c:order val="9"/>
          <c:tx>
            <c:strRef>
              <c:f>SUMMARY!$BZ$25</c:f>
              <c:strCache>
                <c:ptCount val="1"/>
                <c:pt idx="0">
                  <c:v>Gasoline</c:v>
                </c:pt>
              </c:strCache>
            </c:strRef>
          </c:tx>
          <c:spPr>
            <a:solidFill>
              <a:schemeClr val="tx1">
                <a:lumMod val="75000"/>
                <a:lumOff val="25000"/>
              </a:schemeClr>
            </a:solidFill>
          </c:spPr>
          <c:cat>
            <c:multiLvlStrRef>
              <c:f>SUMMARY!$BR$26:$BS$90</c:f>
              <c:multiLvlStrCache>
                <c:ptCount val="65"/>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lvl>
                <c:lvl>
                  <c:pt idx="0">
                    <c:v>Base
Case </c:v>
                  </c:pt>
                  <c:pt idx="5">
                    <c:v> </c:v>
                  </c:pt>
                  <c:pt idx="6">
                    <c:v>Li-ion Batt.
Life Cases</c:v>
                  </c:pt>
                  <c:pt idx="11">
                    <c:v> </c:v>
                  </c:pt>
                  <c:pt idx="12">
                    <c:v>Driving Lo-cation Cases</c:v>
                  </c:pt>
                  <c:pt idx="17">
                    <c:v> </c:v>
                  </c:pt>
                  <c:pt idx="18">
                    <c:v>Vehicle
Cost Cases</c:v>
                  </c:pt>
                  <c:pt idx="23">
                    <c:v> </c:v>
                  </c:pt>
                  <c:pt idx="24">
                    <c:v>Gasoline
Price Cases</c:v>
                  </c:pt>
                  <c:pt idx="29">
                    <c:v> </c:v>
                  </c:pt>
                  <c:pt idx="30">
                    <c:v>Electricity 
Price Cases</c:v>
                  </c:pt>
                  <c:pt idx="35">
                    <c:v> </c:v>
                  </c:pt>
                  <c:pt idx="36">
                    <c:v>GHG Value Cases</c:v>
                  </c:pt>
                  <c:pt idx="41">
                    <c:v> </c:v>
                  </c:pt>
                  <c:pt idx="42">
                    <c:v>Oil Disrup-
tion Cases</c:v>
                  </c:pt>
                  <c:pt idx="47">
                    <c:v> </c:v>
                  </c:pt>
                  <c:pt idx="48">
                    <c:v>Oil Monop-sony Cases</c:v>
                  </c:pt>
                  <c:pt idx="53">
                    <c:v> </c:v>
                  </c:pt>
                  <c:pt idx="54">
                    <c:v>Oil Military Cases</c:v>
                  </c:pt>
                  <c:pt idx="59">
                    <c:v> </c:v>
                  </c:pt>
                  <c:pt idx="60">
                    <c:v>Discount 
Rate Cases</c:v>
                  </c:pt>
                </c:lvl>
              </c:multiLvlStrCache>
            </c:multiLvlStrRef>
          </c:cat>
          <c:val>
            <c:numRef>
              <c:f>SUMMARY!$BZ$26:$BZ$90</c:f>
              <c:numCache>
                <c:formatCode>"$"#,##0</c:formatCode>
                <c:ptCount val="65"/>
                <c:pt idx="0">
                  <c:v>12386.239508244789</c:v>
                </c:pt>
                <c:pt idx="1">
                  <c:v>8847.3139344605643</c:v>
                </c:pt>
                <c:pt idx="2">
                  <c:v>7189.0614919024256</c:v>
                </c:pt>
                <c:pt idx="3">
                  <c:v>6226.4230100894329</c:v>
                </c:pt>
                <c:pt idx="4">
                  <c:v>0</c:v>
                </c:pt>
              </c:numCache>
            </c:numRef>
          </c:val>
        </c:ser>
        <c:ser>
          <c:idx val="9"/>
          <c:order val="10"/>
          <c:tx>
            <c:strRef>
              <c:f>SUMMARY!$CE$25</c:f>
              <c:strCache>
                <c:ptCount val="1"/>
                <c:pt idx="0">
                  <c:v>Oil Premium</c:v>
                </c:pt>
              </c:strCache>
            </c:strRef>
          </c:tx>
          <c:spPr>
            <a:solidFill>
              <a:schemeClr val="tx1">
                <a:lumMod val="50000"/>
                <a:lumOff val="50000"/>
              </a:schemeClr>
            </a:solidFill>
          </c:spPr>
          <c:cat>
            <c:multiLvlStrRef>
              <c:f>SUMMARY!$BR$26:$BS$90</c:f>
              <c:multiLvlStrCache>
                <c:ptCount val="65"/>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lvl>
                <c:lvl>
                  <c:pt idx="0">
                    <c:v>Base
Case </c:v>
                  </c:pt>
                  <c:pt idx="5">
                    <c:v> </c:v>
                  </c:pt>
                  <c:pt idx="6">
                    <c:v>Li-ion Batt.
Life Cases</c:v>
                  </c:pt>
                  <c:pt idx="11">
                    <c:v> </c:v>
                  </c:pt>
                  <c:pt idx="12">
                    <c:v>Driving Lo-cation Cases</c:v>
                  </c:pt>
                  <c:pt idx="17">
                    <c:v> </c:v>
                  </c:pt>
                  <c:pt idx="18">
                    <c:v>Vehicle
Cost Cases</c:v>
                  </c:pt>
                  <c:pt idx="23">
                    <c:v> </c:v>
                  </c:pt>
                  <c:pt idx="24">
                    <c:v>Gasoline
Price Cases</c:v>
                  </c:pt>
                  <c:pt idx="29">
                    <c:v> </c:v>
                  </c:pt>
                  <c:pt idx="30">
                    <c:v>Electricity 
Price Cases</c:v>
                  </c:pt>
                  <c:pt idx="35">
                    <c:v> </c:v>
                  </c:pt>
                  <c:pt idx="36">
                    <c:v>GHG Value Cases</c:v>
                  </c:pt>
                  <c:pt idx="41">
                    <c:v> </c:v>
                  </c:pt>
                  <c:pt idx="42">
                    <c:v>Oil Disrup-
tion Cases</c:v>
                  </c:pt>
                  <c:pt idx="47">
                    <c:v> </c:v>
                  </c:pt>
                  <c:pt idx="48">
                    <c:v>Oil Monop-sony Cases</c:v>
                  </c:pt>
                  <c:pt idx="53">
                    <c:v> </c:v>
                  </c:pt>
                  <c:pt idx="54">
                    <c:v>Oil Military Cases</c:v>
                  </c:pt>
                  <c:pt idx="59">
                    <c:v> </c:v>
                  </c:pt>
                  <c:pt idx="60">
                    <c:v>Discount 
Rate Cases</c:v>
                  </c:pt>
                </c:lvl>
              </c:multiLvlStrCache>
            </c:multiLvlStrRef>
          </c:cat>
          <c:val>
            <c:numRef>
              <c:f>SUMMARY!$CE$26:$CE$90</c:f>
              <c:numCache>
                <c:formatCode>"$"#,##0</c:formatCode>
                <c:ptCount val="65"/>
                <c:pt idx="0">
                  <c:v>1284.2403028749243</c:v>
                </c:pt>
                <c:pt idx="1">
                  <c:v>917.31450205351746</c:v>
                </c:pt>
                <c:pt idx="2">
                  <c:v>745.38220430839453</c:v>
                </c:pt>
                <c:pt idx="3">
                  <c:v>645.57312709656856</c:v>
                </c:pt>
                <c:pt idx="4">
                  <c:v>0</c:v>
                </c:pt>
              </c:numCache>
            </c:numRef>
          </c:val>
        </c:ser>
        <c:ser>
          <c:idx val="8"/>
          <c:order val="11"/>
          <c:tx>
            <c:strRef>
              <c:f>SUMMARY!$CD$25</c:f>
              <c:strCache>
                <c:ptCount val="1"/>
                <c:pt idx="0">
                  <c:v>Air Emissions Damages</c:v>
                </c:pt>
              </c:strCache>
            </c:strRef>
          </c:tx>
          <c:spPr>
            <a:solidFill>
              <a:srgbClr val="C00000"/>
            </a:solidFill>
          </c:spPr>
          <c:cat>
            <c:multiLvlStrRef>
              <c:f>SUMMARY!$BR$26:$BS$90</c:f>
              <c:multiLvlStrCache>
                <c:ptCount val="65"/>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lvl>
                <c:lvl>
                  <c:pt idx="0">
                    <c:v>Base
Case </c:v>
                  </c:pt>
                  <c:pt idx="5">
                    <c:v> </c:v>
                  </c:pt>
                  <c:pt idx="6">
                    <c:v>Li-ion Batt.
Life Cases</c:v>
                  </c:pt>
                  <c:pt idx="11">
                    <c:v> </c:v>
                  </c:pt>
                  <c:pt idx="12">
                    <c:v>Driving Lo-cation Cases</c:v>
                  </c:pt>
                  <c:pt idx="17">
                    <c:v> </c:v>
                  </c:pt>
                  <c:pt idx="18">
                    <c:v>Vehicle
Cost Cases</c:v>
                  </c:pt>
                  <c:pt idx="23">
                    <c:v> </c:v>
                  </c:pt>
                  <c:pt idx="24">
                    <c:v>Gasoline
Price Cases</c:v>
                  </c:pt>
                  <c:pt idx="29">
                    <c:v> </c:v>
                  </c:pt>
                  <c:pt idx="30">
                    <c:v>Electricity 
Price Cases</c:v>
                  </c:pt>
                  <c:pt idx="35">
                    <c:v> </c:v>
                  </c:pt>
                  <c:pt idx="36">
                    <c:v>GHG Value Cases</c:v>
                  </c:pt>
                  <c:pt idx="41">
                    <c:v> </c:v>
                  </c:pt>
                  <c:pt idx="42">
                    <c:v>Oil Disrup-
tion Cases</c:v>
                  </c:pt>
                  <c:pt idx="47">
                    <c:v> </c:v>
                  </c:pt>
                  <c:pt idx="48">
                    <c:v>Oil Monop-sony Cases</c:v>
                  </c:pt>
                  <c:pt idx="53">
                    <c:v> </c:v>
                  </c:pt>
                  <c:pt idx="54">
                    <c:v>Oil Military Cases</c:v>
                  </c:pt>
                  <c:pt idx="59">
                    <c:v> </c:v>
                  </c:pt>
                  <c:pt idx="60">
                    <c:v>Discount 
Rate Cases</c:v>
                  </c:pt>
                </c:lvl>
              </c:multiLvlStrCache>
            </c:multiLvlStrRef>
          </c:cat>
          <c:val>
            <c:numRef>
              <c:f>SUMMARY!$CD$26:$CD$90</c:f>
              <c:numCache>
                <c:formatCode>"$"#,##0</c:formatCode>
                <c:ptCount val="65"/>
                <c:pt idx="0">
                  <c:v>3517.2943095706469</c:v>
                </c:pt>
                <c:pt idx="1">
                  <c:v>2992.9127558241985</c:v>
                </c:pt>
                <c:pt idx="2">
                  <c:v>2887.4067215758</c:v>
                </c:pt>
                <c:pt idx="3">
                  <c:v>3500.3170262031931</c:v>
                </c:pt>
                <c:pt idx="4">
                  <c:v>4667.4752102121438</c:v>
                </c:pt>
              </c:numCache>
            </c:numRef>
          </c:val>
        </c:ser>
        <c:gapWidth val="25"/>
        <c:overlap val="100"/>
        <c:axId val="137017216"/>
        <c:axId val="137018752"/>
      </c:barChart>
      <c:lineChart>
        <c:grouping val="standard"/>
        <c:ser>
          <c:idx val="1"/>
          <c:order val="1"/>
          <c:tx>
            <c:strRef>
              <c:f>SUMMARY!$BU$25</c:f>
              <c:strCache>
                <c:ptCount val="1"/>
                <c:pt idx="0">
                  <c:v>Low Case</c:v>
                </c:pt>
              </c:strCache>
            </c:strRef>
          </c:tx>
          <c:spPr>
            <a:ln w="12700">
              <a:prstDash val="sysDot"/>
            </a:ln>
          </c:spPr>
          <c:marker>
            <c:symbol val="none"/>
          </c:marker>
          <c:cat>
            <c:multiLvlStrRef>
              <c:f>SUMMARY!$BR$26:$BS$90</c:f>
              <c:multiLvlStrCache>
                <c:ptCount val="65"/>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lvl>
                <c:lvl>
                  <c:pt idx="0">
                    <c:v>Base
Case </c:v>
                  </c:pt>
                  <c:pt idx="5">
                    <c:v> </c:v>
                  </c:pt>
                  <c:pt idx="6">
                    <c:v>Li-ion Batt.
Life Cases</c:v>
                  </c:pt>
                  <c:pt idx="11">
                    <c:v> </c:v>
                  </c:pt>
                  <c:pt idx="12">
                    <c:v>Driving Lo-cation Cases</c:v>
                  </c:pt>
                  <c:pt idx="17">
                    <c:v> </c:v>
                  </c:pt>
                  <c:pt idx="18">
                    <c:v>Vehicle
Cost Cases</c:v>
                  </c:pt>
                  <c:pt idx="23">
                    <c:v> </c:v>
                  </c:pt>
                  <c:pt idx="24">
                    <c:v>Gasoline
Price Cases</c:v>
                  </c:pt>
                  <c:pt idx="29">
                    <c:v> </c:v>
                  </c:pt>
                  <c:pt idx="30">
                    <c:v>Electricity 
Price Cases</c:v>
                  </c:pt>
                  <c:pt idx="35">
                    <c:v> </c:v>
                  </c:pt>
                  <c:pt idx="36">
                    <c:v>GHG Value Cases</c:v>
                  </c:pt>
                  <c:pt idx="41">
                    <c:v> </c:v>
                  </c:pt>
                  <c:pt idx="42">
                    <c:v>Oil Disrup-
tion Cases</c:v>
                  </c:pt>
                  <c:pt idx="47">
                    <c:v> </c:v>
                  </c:pt>
                  <c:pt idx="48">
                    <c:v>Oil Monop-sony Cases</c:v>
                  </c:pt>
                  <c:pt idx="53">
                    <c:v> </c:v>
                  </c:pt>
                  <c:pt idx="54">
                    <c:v>Oil Military Cases</c:v>
                  </c:pt>
                  <c:pt idx="59">
                    <c:v> </c:v>
                  </c:pt>
                  <c:pt idx="60">
                    <c:v>Discount 
Rate Cases</c:v>
                  </c:pt>
                </c:lvl>
              </c:multiLvlStrCache>
            </c:multiLvlStrRef>
          </c:cat>
          <c:val>
            <c:numRef>
              <c:f>SUMMARY!$BU$26:$BU$90</c:f>
              <c:numCache>
                <c:formatCode>"$"#,##0</c:formatCode>
                <c:ptCount val="65"/>
                <c:pt idx="6">
                  <c:v>44587.220125613137</c:v>
                </c:pt>
                <c:pt idx="7">
                  <c:v>43587.2467938478</c:v>
                </c:pt>
                <c:pt idx="8">
                  <c:v>46089.27864434931</c:v>
                </c:pt>
                <c:pt idx="9">
                  <c:v>58585.731268367657</c:v>
                </c:pt>
                <c:pt idx="10">
                  <c:v>88398.370684618218</c:v>
                </c:pt>
                <c:pt idx="12">
                  <c:v>44089.472458230914</c:v>
                </c:pt>
                <c:pt idx="13">
                  <c:v>43118.610417365933</c:v>
                </c:pt>
                <c:pt idx="14">
                  <c:v>43987.339371851893</c:v>
                </c:pt>
                <c:pt idx="15">
                  <c:v>52498.314025368636</c:v>
                </c:pt>
                <c:pt idx="16">
                  <c:v>66964.182591117176</c:v>
                </c:pt>
                <c:pt idx="18">
                  <c:v>44587.220125613137</c:v>
                </c:pt>
                <c:pt idx="19">
                  <c:v>43587.2467938478</c:v>
                </c:pt>
                <c:pt idx="20">
                  <c:v>44342.078748103791</c:v>
                </c:pt>
                <c:pt idx="21">
                  <c:v>52780.398428948298</c:v>
                </c:pt>
                <c:pt idx="22">
                  <c:v>67031.631929099676</c:v>
                </c:pt>
                <c:pt idx="24">
                  <c:v>39360.19414167761</c:v>
                </c:pt>
                <c:pt idx="25">
                  <c:v>39853.656805322425</c:v>
                </c:pt>
                <c:pt idx="26">
                  <c:v>41308.275696477736</c:v>
                </c:pt>
                <c:pt idx="27">
                  <c:v>50152.831374472422</c:v>
                </c:pt>
                <c:pt idx="28">
                  <c:v>67031.631929099676</c:v>
                </c:pt>
                <c:pt idx="30">
                  <c:v>44587.220125613137</c:v>
                </c:pt>
                <c:pt idx="31">
                  <c:v>43587.2467938478</c:v>
                </c:pt>
                <c:pt idx="32">
                  <c:v>44257.076472935325</c:v>
                </c:pt>
                <c:pt idx="33">
                  <c:v>52530.644656129596</c:v>
                </c:pt>
                <c:pt idx="34">
                  <c:v>66461.593895682978</c:v>
                </c:pt>
                <c:pt idx="36">
                  <c:v>43237.392819241024</c:v>
                </c:pt>
                <c:pt idx="37">
                  <c:v>42564.96440104027</c:v>
                </c:pt>
                <c:pt idx="38">
                  <c:v>43361.418496076447</c:v>
                </c:pt>
                <c:pt idx="39">
                  <c:v>51624.445515274667</c:v>
                </c:pt>
                <c:pt idx="40">
                  <c:v>65815.764118882013</c:v>
                </c:pt>
                <c:pt idx="42">
                  <c:v>44251.641002670258</c:v>
                </c:pt>
                <c:pt idx="43">
                  <c:v>43347.547420317176</c:v>
                </c:pt>
                <c:pt idx="44">
                  <c:v>44147.306238769612</c:v>
                </c:pt>
                <c:pt idx="45">
                  <c:v>52611.70658576164</c:v>
                </c:pt>
                <c:pt idx="46">
                  <c:v>67031.631929099676</c:v>
                </c:pt>
                <c:pt idx="48">
                  <c:v>44029.123929984045</c:v>
                </c:pt>
                <c:pt idx="49">
                  <c:v>43188.606654112737</c:v>
                </c:pt>
                <c:pt idx="50">
                  <c:v>44018.155747413904</c:v>
                </c:pt>
                <c:pt idx="51">
                  <c:v>52499.849761049918</c:v>
                </c:pt>
                <c:pt idx="52">
                  <c:v>67031.631929099676</c:v>
                </c:pt>
                <c:pt idx="54">
                  <c:v>44587.220125613137</c:v>
                </c:pt>
                <c:pt idx="55">
                  <c:v>43587.2467938478</c:v>
                </c:pt>
                <c:pt idx="56">
                  <c:v>44342.078748103791</c:v>
                </c:pt>
                <c:pt idx="57">
                  <c:v>52780.398428948298</c:v>
                </c:pt>
                <c:pt idx="58">
                  <c:v>67031.631929099676</c:v>
                </c:pt>
                <c:pt idx="60">
                  <c:v>51476.935534008437</c:v>
                </c:pt>
                <c:pt idx="61">
                  <c:v>48813.183427125237</c:v>
                </c:pt>
                <c:pt idx="62">
                  <c:v>48938.095649072944</c:v>
                </c:pt>
                <c:pt idx="63">
                  <c:v>57624.743490308982</c:v>
                </c:pt>
                <c:pt idx="64">
                  <c:v>70195.564248136798</c:v>
                </c:pt>
              </c:numCache>
            </c:numRef>
          </c:val>
        </c:ser>
        <c:ser>
          <c:idx val="2"/>
          <c:order val="2"/>
          <c:tx>
            <c:strRef>
              <c:f>SUMMARY!$BV$25</c:f>
              <c:strCache>
                <c:ptCount val="1"/>
                <c:pt idx="0">
                  <c:v>High Case</c:v>
                </c:pt>
              </c:strCache>
            </c:strRef>
          </c:tx>
          <c:spPr>
            <a:ln w="12700">
              <a:solidFill>
                <a:schemeClr val="tx2"/>
              </a:solidFill>
              <a:prstDash val="sysDot"/>
            </a:ln>
          </c:spPr>
          <c:marker>
            <c:symbol val="none"/>
          </c:marker>
          <c:cat>
            <c:multiLvlStrRef>
              <c:f>SUMMARY!$BR$26:$BS$90</c:f>
              <c:multiLvlStrCache>
                <c:ptCount val="65"/>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pt idx="54">
                    <c:v>CV</c:v>
                  </c:pt>
                  <c:pt idx="55">
                    <c:v>HEV</c:v>
                  </c:pt>
                  <c:pt idx="56">
                    <c:v>PHEV20</c:v>
                  </c:pt>
                  <c:pt idx="57">
                    <c:v>PHEV60</c:v>
                  </c:pt>
                  <c:pt idx="58">
                    <c:v>BEV240</c:v>
                  </c:pt>
                  <c:pt idx="60">
                    <c:v>CV</c:v>
                  </c:pt>
                  <c:pt idx="61">
                    <c:v>HEV</c:v>
                  </c:pt>
                  <c:pt idx="62">
                    <c:v>PHEV20</c:v>
                  </c:pt>
                  <c:pt idx="63">
                    <c:v>PHEV60</c:v>
                  </c:pt>
                  <c:pt idx="64">
                    <c:v>BEV240</c:v>
                  </c:pt>
                </c:lvl>
                <c:lvl>
                  <c:pt idx="0">
                    <c:v>Base
Case </c:v>
                  </c:pt>
                  <c:pt idx="5">
                    <c:v> </c:v>
                  </c:pt>
                  <c:pt idx="6">
                    <c:v>Li-ion Batt.
Life Cases</c:v>
                  </c:pt>
                  <c:pt idx="11">
                    <c:v> </c:v>
                  </c:pt>
                  <c:pt idx="12">
                    <c:v>Driving Lo-cation Cases</c:v>
                  </c:pt>
                  <c:pt idx="17">
                    <c:v> </c:v>
                  </c:pt>
                  <c:pt idx="18">
                    <c:v>Vehicle
Cost Cases</c:v>
                  </c:pt>
                  <c:pt idx="23">
                    <c:v> </c:v>
                  </c:pt>
                  <c:pt idx="24">
                    <c:v>Gasoline
Price Cases</c:v>
                  </c:pt>
                  <c:pt idx="29">
                    <c:v> </c:v>
                  </c:pt>
                  <c:pt idx="30">
                    <c:v>Electricity 
Price Cases</c:v>
                  </c:pt>
                  <c:pt idx="35">
                    <c:v> </c:v>
                  </c:pt>
                  <c:pt idx="36">
                    <c:v>GHG Value Cases</c:v>
                  </c:pt>
                  <c:pt idx="41">
                    <c:v> </c:v>
                  </c:pt>
                  <c:pt idx="42">
                    <c:v>Oil Disrup-
tion Cases</c:v>
                  </c:pt>
                  <c:pt idx="47">
                    <c:v> </c:v>
                  </c:pt>
                  <c:pt idx="48">
                    <c:v>Oil Monop-sony Cases</c:v>
                  </c:pt>
                  <c:pt idx="53">
                    <c:v> </c:v>
                  </c:pt>
                  <c:pt idx="54">
                    <c:v>Oil Military Cases</c:v>
                  </c:pt>
                  <c:pt idx="59">
                    <c:v> </c:v>
                  </c:pt>
                  <c:pt idx="60">
                    <c:v>Discount 
Rate Cases</c:v>
                  </c:pt>
                </c:lvl>
              </c:multiLvlStrCache>
            </c:multiLvlStrRef>
          </c:cat>
          <c:val>
            <c:numRef>
              <c:f>SUMMARY!$BV$26:$BV$90</c:f>
              <c:numCache>
                <c:formatCode>"$"#,##0</c:formatCode>
                <c:ptCount val="65"/>
                <c:pt idx="6">
                  <c:v>44587.220125613137</c:v>
                </c:pt>
                <c:pt idx="7">
                  <c:v>43587.2467938478</c:v>
                </c:pt>
                <c:pt idx="8">
                  <c:v>44342.078748103791</c:v>
                </c:pt>
                <c:pt idx="9">
                  <c:v>52780.398428948298</c:v>
                </c:pt>
                <c:pt idx="10">
                  <c:v>67031.631929099676</c:v>
                </c:pt>
                <c:pt idx="12">
                  <c:v>46483.305125668579</c:v>
                </c:pt>
                <c:pt idx="13">
                  <c:v>45359.015343674037</c:v>
                </c:pt>
                <c:pt idx="14">
                  <c:v>45688.933110609461</c:v>
                </c:pt>
                <c:pt idx="15">
                  <c:v>53856.199746988474</c:v>
                </c:pt>
                <c:pt idx="16">
                  <c:v>67306.696754654811</c:v>
                </c:pt>
                <c:pt idx="18">
                  <c:v>44587.74673074254</c:v>
                </c:pt>
                <c:pt idx="19">
                  <c:v>42933.72982825803</c:v>
                </c:pt>
                <c:pt idx="20">
                  <c:v>42682.219380223913</c:v>
                </c:pt>
                <c:pt idx="21">
                  <c:v>46748.663276760417</c:v>
                </c:pt>
                <c:pt idx="22">
                  <c:v>45150.13559212473</c:v>
                </c:pt>
                <c:pt idx="24">
                  <c:v>50454.723779349326</c:v>
                </c:pt>
                <c:pt idx="25">
                  <c:v>47778.320832230791</c:v>
                </c:pt>
                <c:pt idx="26">
                  <c:v>47747.619593862</c:v>
                </c:pt>
                <c:pt idx="27">
                  <c:v>55729.926389964116</c:v>
                </c:pt>
                <c:pt idx="28">
                  <c:v>67031.631929099676</c:v>
                </c:pt>
                <c:pt idx="30">
                  <c:v>44587.220125613137</c:v>
                </c:pt>
                <c:pt idx="31">
                  <c:v>43587.2467938478</c:v>
                </c:pt>
                <c:pt idx="32">
                  <c:v>44389.294277529014</c:v>
                </c:pt>
                <c:pt idx="33">
                  <c:v>52919.127146340987</c:v>
                </c:pt>
                <c:pt idx="34">
                  <c:v>67348.266366083175</c:v>
                </c:pt>
                <c:pt idx="36">
                  <c:v>49311.615697915542</c:v>
                </c:pt>
                <c:pt idx="37">
                  <c:v>47165.23516867416</c:v>
                </c:pt>
                <c:pt idx="38">
                  <c:v>47774.389630199512</c:v>
                </c:pt>
                <c:pt idx="39">
                  <c:v>56826.233626806003</c:v>
                </c:pt>
                <c:pt idx="40">
                  <c:v>71287.169264861514</c:v>
                </c:pt>
                <c:pt idx="42">
                  <c:v>45299.205080825021</c:v>
                </c:pt>
                <c:pt idx="43">
                  <c:v>44095.807476142007</c:v>
                </c:pt>
                <c:pt idx="44">
                  <c:v>44755.319879192895</c:v>
                </c:pt>
                <c:pt idx="45">
                  <c:v>53138.305241990129</c:v>
                </c:pt>
                <c:pt idx="46">
                  <c:v>67031.631929099676</c:v>
                </c:pt>
                <c:pt idx="48">
                  <c:v>45472.347647896335</c:v>
                </c:pt>
                <c:pt idx="49">
                  <c:v>44219.480738335798</c:v>
                </c:pt>
                <c:pt idx="50">
                  <c:v>44855.813056376574</c:v>
                </c:pt>
                <c:pt idx="51">
                  <c:v>53225.342059171096</c:v>
                </c:pt>
                <c:pt idx="52">
                  <c:v>67031.631929099676</c:v>
                </c:pt>
                <c:pt idx="54">
                  <c:v>45067.110886010254</c:v>
                </c:pt>
                <c:pt idx="55">
                  <c:v>43930.02590841717</c:v>
                </c:pt>
                <c:pt idx="56">
                  <c:v>44620.610758048722</c:v>
                </c:pt>
                <c:pt idx="57">
                  <c:v>53021.634105916841</c:v>
                </c:pt>
                <c:pt idx="58">
                  <c:v>67031.631929099676</c:v>
                </c:pt>
                <c:pt idx="60">
                  <c:v>35869.265061333885</c:v>
                </c:pt>
                <c:pt idx="61">
                  <c:v>36970.290732760877</c:v>
                </c:pt>
                <c:pt idx="62">
                  <c:v>38524.402847585843</c:v>
                </c:pt>
                <c:pt idx="63">
                  <c:v>46649.534776695356</c:v>
                </c:pt>
                <c:pt idx="64">
                  <c:v>63041.321416491315</c:v>
                </c:pt>
              </c:numCache>
            </c:numRef>
          </c:val>
        </c:ser>
        <c:marker val="1"/>
        <c:axId val="137017216"/>
        <c:axId val="137018752"/>
      </c:lineChart>
      <c:catAx>
        <c:axId val="137017216"/>
        <c:scaling>
          <c:orientation val="minMax"/>
        </c:scaling>
        <c:axPos val="b"/>
        <c:majorTickMark val="none"/>
        <c:tickLblPos val="nextTo"/>
        <c:crossAx val="137018752"/>
        <c:crosses val="autoZero"/>
        <c:auto val="1"/>
        <c:lblAlgn val="ctr"/>
        <c:lblOffset val="100"/>
      </c:catAx>
      <c:valAx>
        <c:axId val="137018752"/>
        <c:scaling>
          <c:orientation val="minMax"/>
          <c:max val="100000"/>
        </c:scaling>
        <c:axPos val="l"/>
        <c:majorGridlines/>
        <c:numFmt formatCode="&quot;$&quot;#,##0" sourceLinked="1"/>
        <c:tickLblPos val="nextTo"/>
        <c:crossAx val="137017216"/>
        <c:crosses val="autoZero"/>
        <c:crossBetween val="between"/>
        <c:majorUnit val="20000"/>
      </c:valAx>
    </c:plotArea>
    <c:legend>
      <c:legendPos val="r"/>
      <c:layout>
        <c:manualLayout>
          <c:xMode val="edge"/>
          <c:yMode val="edge"/>
          <c:x val="0.84683173461018213"/>
          <c:y val="0.12813641016879598"/>
          <c:w val="0.15202389277078221"/>
          <c:h val="0.52780300972321759"/>
        </c:manualLayout>
      </c:layout>
    </c:legend>
    <c:plotVisOnly val="1"/>
    <c:dispBlanksAs val="gap"/>
  </c:chart>
  <c:spPr>
    <a:ln>
      <a:noFill/>
    </a:ln>
  </c:spPr>
  <c:printSettings>
    <c:headerFooter/>
    <c:pageMargins b="0.75000000000000866" l="0.70000000000000062" r="0.70000000000000062" t="0.7500000000000086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a:pPr>
            <a:r>
              <a:rPr lang="en-US" sz="1200"/>
              <a:t>Lifetime Emissions Damages w/ Sensitivity Analysis</a:t>
            </a:r>
          </a:p>
        </c:rich>
      </c:tx>
      <c:layout>
        <c:manualLayout>
          <c:xMode val="edge"/>
          <c:yMode val="edge"/>
          <c:x val="9.0148700220937739E-2"/>
          <c:y val="7.6103079185001424E-3"/>
        </c:manualLayout>
      </c:layout>
    </c:title>
    <c:plotArea>
      <c:layout>
        <c:manualLayout>
          <c:layoutTarget val="inner"/>
          <c:xMode val="edge"/>
          <c:yMode val="edge"/>
          <c:x val="0.11320892897273979"/>
          <c:y val="0.13141967611942293"/>
          <c:w val="0.65824299930861263"/>
          <c:h val="0.52200787186840825"/>
        </c:manualLayout>
      </c:layout>
      <c:barChart>
        <c:barDir val="col"/>
        <c:grouping val="stacked"/>
        <c:ser>
          <c:idx val="0"/>
          <c:order val="0"/>
          <c:tx>
            <c:strRef>
              <c:f>SUMMARY!$BA$187</c:f>
              <c:strCache>
                <c:ptCount val="1"/>
                <c:pt idx="0">
                  <c:v>Base Case</c:v>
                </c:pt>
              </c:strCache>
            </c:strRef>
          </c:tx>
          <c:spPr>
            <a:solidFill>
              <a:schemeClr val="tx1">
                <a:lumMod val="75000"/>
                <a:lumOff val="25000"/>
                <a:alpha val="25000"/>
              </a:schemeClr>
            </a:solidFill>
            <a:ln>
              <a:noFill/>
            </a:ln>
          </c:spPr>
          <c:errBars>
            <c:errBarType val="both"/>
            <c:errValType val="cust"/>
            <c:plus>
              <c:numRef>
                <c:f>SUMMARY!$BP$188:$BP$210</c:f>
                <c:numCache>
                  <c:formatCode>General</c:formatCode>
                  <c:ptCount val="23"/>
                  <c:pt idx="6">
                    <c:v>0</c:v>
                  </c:pt>
                  <c:pt idx="7">
                    <c:v>0</c:v>
                  </c:pt>
                  <c:pt idx="8">
                    <c:v>454.50917867969429</c:v>
                  </c:pt>
                  <c:pt idx="9">
                    <c:v>1335.4393389001552</c:v>
                  </c:pt>
                  <c:pt idx="10">
                    <c:v>3048.0068665330964</c:v>
                  </c:pt>
                  <c:pt idx="12">
                    <c:v>1896.0850000554365</c:v>
                  </c:pt>
                  <c:pt idx="13">
                    <c:v>1771.7685498262358</c:v>
                  </c:pt>
                  <c:pt idx="14">
                    <c:v>1346.8543625056686</c:v>
                  </c:pt>
                  <c:pt idx="15">
                    <c:v>1075.8013180401722</c:v>
                  </c:pt>
                  <c:pt idx="16">
                    <c:v>275.06482555512957</c:v>
                  </c:pt>
                  <c:pt idx="18">
                    <c:v>0</c:v>
                  </c:pt>
                  <c:pt idx="19">
                    <c:v>0</c:v>
                  </c:pt>
                  <c:pt idx="20">
                    <c:v>0</c:v>
                  </c:pt>
                  <c:pt idx="21">
                    <c:v>0</c:v>
                  </c:pt>
                  <c:pt idx="22">
                    <c:v>0</c:v>
                  </c:pt>
                </c:numCache>
              </c:numRef>
            </c:plus>
            <c:minus>
              <c:numRef>
                <c:f>SUMMARY!$BO$188:$BO$210</c:f>
                <c:numCache>
                  <c:formatCode>General</c:formatCode>
                  <c:ptCount val="23"/>
                  <c:pt idx="6">
                    <c:v>0</c:v>
                  </c:pt>
                  <c:pt idx="7">
                    <c:v>0</c:v>
                  </c:pt>
                  <c:pt idx="8">
                    <c:v>262.75061195019362</c:v>
                  </c:pt>
                  <c:pt idx="9">
                    <c:v>772.01411979769273</c:v>
                  </c:pt>
                  <c:pt idx="10">
                    <c:v>1762.0450960669236</c:v>
                  </c:pt>
                  <c:pt idx="12">
                    <c:v>497.74766738222752</c:v>
                  </c:pt>
                  <c:pt idx="13">
                    <c:v>468.63637648187114</c:v>
                  </c:pt>
                  <c:pt idx="14">
                    <c:v>354.73937625190001</c:v>
                  </c:pt>
                  <c:pt idx="15">
                    <c:v>282.0844035796631</c:v>
                  </c:pt>
                  <c:pt idx="16">
                    <c:v>67.449337982498946</c:v>
                  </c:pt>
                  <c:pt idx="18">
                    <c:v>0</c:v>
                  </c:pt>
                  <c:pt idx="19">
                    <c:v>0</c:v>
                  </c:pt>
                  <c:pt idx="20">
                    <c:v>-88.610807806617686</c:v>
                  </c:pt>
                  <c:pt idx="21">
                    <c:v>-303.91429037174385</c:v>
                  </c:pt>
                  <c:pt idx="22">
                    <c:v>-1230.7106025983403</c:v>
                  </c:pt>
                </c:numCache>
              </c:numRef>
            </c:minus>
            <c:spPr>
              <a:ln w="12700">
                <a:solidFill>
                  <a:sysClr val="windowText" lastClr="000000"/>
                </a:solidFill>
              </a:ln>
            </c:spPr>
          </c:errBars>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SUMMARY!$BA$188:$BA$210</c:f>
              <c:numCache>
                <c:formatCode>"$"#,##0</c:formatCode>
                <c:ptCount val="23"/>
                <c:pt idx="6">
                  <c:v>4801.5346124455709</c:v>
                </c:pt>
                <c:pt idx="7">
                  <c:v>3910.2272578777161</c:v>
                </c:pt>
                <c:pt idx="8">
                  <c:v>3632.7889258841947</c:v>
                </c:pt>
                <c:pt idx="9">
                  <c:v>4145.8901532997616</c:v>
                </c:pt>
                <c:pt idx="10">
                  <c:v>4667.4752102121438</c:v>
                </c:pt>
                <c:pt idx="12">
                  <c:v>4801.5346124455709</c:v>
                </c:pt>
                <c:pt idx="13">
                  <c:v>3910.2272578777161</c:v>
                </c:pt>
                <c:pt idx="14">
                  <c:v>3632.7889258841947</c:v>
                </c:pt>
                <c:pt idx="15">
                  <c:v>4145.8901532997616</c:v>
                </c:pt>
                <c:pt idx="16">
                  <c:v>4667.4752102121438</c:v>
                </c:pt>
                <c:pt idx="18">
                  <c:v>4801.5346124455709</c:v>
                </c:pt>
                <c:pt idx="19">
                  <c:v>3910.2272578777161</c:v>
                </c:pt>
                <c:pt idx="20">
                  <c:v>3632.7889258841947</c:v>
                </c:pt>
                <c:pt idx="21">
                  <c:v>4145.8901532997616</c:v>
                </c:pt>
                <c:pt idx="22">
                  <c:v>4667.4752102121438</c:v>
                </c:pt>
              </c:numCache>
            </c:numRef>
          </c:val>
        </c:ser>
        <c:ser>
          <c:idx val="3"/>
          <c:order val="3"/>
          <c:tx>
            <c:strRef>
              <c:f>SUMMARY!$BD$187</c:f>
              <c:strCache>
                <c:ptCount val="1"/>
                <c:pt idx="0">
                  <c:v>GHGs</c:v>
                </c:pt>
              </c:strCache>
            </c:strRef>
          </c:tx>
          <c:spPr>
            <a:solidFill>
              <a:srgbClr val="336600"/>
            </a:solidFill>
          </c:spPr>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SUMMARY!$BD$188:$BD$210</c:f>
              <c:numCache>
                <c:formatCode>"$"#,##0</c:formatCode>
                <c:ptCount val="23"/>
                <c:pt idx="0">
                  <c:v>2024.7409595581712</c:v>
                </c:pt>
                <c:pt idx="1">
                  <c:v>1533.4235892112956</c:v>
                </c:pt>
                <c:pt idx="2">
                  <c:v>1470.9903780410214</c:v>
                </c:pt>
                <c:pt idx="3">
                  <c:v>1733.929370510444</c:v>
                </c:pt>
                <c:pt idx="4">
                  <c:v>1823.8017153265005</c:v>
                </c:pt>
              </c:numCache>
            </c:numRef>
          </c:val>
        </c:ser>
        <c:ser>
          <c:idx val="4"/>
          <c:order val="4"/>
          <c:tx>
            <c:strRef>
              <c:f>SUMMARY!$BE$187</c:f>
              <c:strCache>
                <c:ptCount val="1"/>
                <c:pt idx="0">
                  <c:v>CO</c:v>
                </c:pt>
              </c:strCache>
            </c:strRef>
          </c:tx>
          <c:spPr>
            <a:solidFill>
              <a:srgbClr val="C00000"/>
            </a:solidFill>
          </c:spPr>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SUMMARY!$BE$188:$BE$210</c:f>
              <c:numCache>
                <c:formatCode>"$"#,##0</c:formatCode>
                <c:ptCount val="23"/>
                <c:pt idx="0">
                  <c:v>312.25271204328538</c:v>
                </c:pt>
                <c:pt idx="1">
                  <c:v>309.62966328679141</c:v>
                </c:pt>
                <c:pt idx="2">
                  <c:v>226.57131861625834</c:v>
                </c:pt>
                <c:pt idx="3">
                  <c:v>173.83427687643018</c:v>
                </c:pt>
                <c:pt idx="4">
                  <c:v>17.869358676122928</c:v>
                </c:pt>
              </c:numCache>
            </c:numRef>
          </c:val>
        </c:ser>
        <c:ser>
          <c:idx val="5"/>
          <c:order val="5"/>
          <c:tx>
            <c:strRef>
              <c:f>SUMMARY!$BF$187</c:f>
              <c:strCache>
                <c:ptCount val="1"/>
                <c:pt idx="0">
                  <c:v>NH3</c:v>
                </c:pt>
              </c:strCache>
            </c:strRef>
          </c:tx>
          <c:spPr>
            <a:solidFill>
              <a:schemeClr val="accent1"/>
            </a:solidFill>
          </c:spPr>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SUMMARY!$BF$188:$BF$210</c:f>
              <c:numCache>
                <c:formatCode>"$"#,##0</c:formatCode>
                <c:ptCount val="23"/>
                <c:pt idx="0">
                  <c:v>0</c:v>
                </c:pt>
                <c:pt idx="1">
                  <c:v>0</c:v>
                </c:pt>
                <c:pt idx="2">
                  <c:v>0</c:v>
                </c:pt>
                <c:pt idx="3">
                  <c:v>0</c:v>
                </c:pt>
                <c:pt idx="4">
                  <c:v>0</c:v>
                </c:pt>
              </c:numCache>
            </c:numRef>
          </c:val>
        </c:ser>
        <c:ser>
          <c:idx val="6"/>
          <c:order val="6"/>
          <c:tx>
            <c:strRef>
              <c:f>SUMMARY!$BG$187</c:f>
              <c:strCache>
                <c:ptCount val="1"/>
                <c:pt idx="0">
                  <c:v>NOx</c:v>
                </c:pt>
              </c:strCache>
            </c:strRef>
          </c:tx>
          <c:spPr>
            <a:solidFill>
              <a:schemeClr val="accent6"/>
            </a:solidFill>
          </c:spPr>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SUMMARY!$BG$188:$BG$210</c:f>
              <c:numCache>
                <c:formatCode>"$"#,##0</c:formatCode>
                <c:ptCount val="23"/>
                <c:pt idx="0">
                  <c:v>104.13165470467408</c:v>
                </c:pt>
                <c:pt idx="1">
                  <c:v>85.056093960905713</c:v>
                </c:pt>
                <c:pt idx="2">
                  <c:v>82.644555338322789</c:v>
                </c:pt>
                <c:pt idx="3">
                  <c:v>99.170110306203711</c:v>
                </c:pt>
                <c:pt idx="4">
                  <c:v>128.73367902891709</c:v>
                </c:pt>
              </c:numCache>
            </c:numRef>
          </c:val>
        </c:ser>
        <c:ser>
          <c:idx val="7"/>
          <c:order val="7"/>
          <c:tx>
            <c:strRef>
              <c:f>SUMMARY!$BH$187</c:f>
              <c:strCache>
                <c:ptCount val="1"/>
                <c:pt idx="0">
                  <c:v>PM10</c:v>
                </c:pt>
              </c:strCache>
            </c:strRef>
          </c:tx>
          <c:spPr>
            <a:solidFill>
              <a:schemeClr val="accent4">
                <a:lumMod val="40000"/>
                <a:lumOff val="60000"/>
              </a:schemeClr>
            </a:solidFill>
          </c:spPr>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SUMMARY!$BH$188:$BH$210</c:f>
              <c:numCache>
                <c:formatCode>"$"#,##0</c:formatCode>
                <c:ptCount val="23"/>
                <c:pt idx="0">
                  <c:v>109.0601833311037</c:v>
                </c:pt>
                <c:pt idx="1">
                  <c:v>99.240449074941608</c:v>
                </c:pt>
                <c:pt idx="2">
                  <c:v>101.48096887821208</c:v>
                </c:pt>
                <c:pt idx="3">
                  <c:v>122.77531596720763</c:v>
                </c:pt>
                <c:pt idx="4">
                  <c:v>199.86763473738299</c:v>
                </c:pt>
              </c:numCache>
            </c:numRef>
          </c:val>
        </c:ser>
        <c:ser>
          <c:idx val="8"/>
          <c:order val="8"/>
          <c:tx>
            <c:strRef>
              <c:f>SUMMARY!$BI$187</c:f>
              <c:strCache>
                <c:ptCount val="1"/>
                <c:pt idx="0">
                  <c:v>PM2.5</c:v>
                </c:pt>
              </c:strCache>
            </c:strRef>
          </c:tx>
          <c:spPr>
            <a:solidFill>
              <a:schemeClr val="accent4">
                <a:lumMod val="75000"/>
              </a:schemeClr>
            </a:solidFill>
          </c:spPr>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SUMMARY!$BI$188:$BI$210</c:f>
              <c:numCache>
                <c:formatCode>"$"#,##0</c:formatCode>
                <c:ptCount val="23"/>
                <c:pt idx="0">
                  <c:v>327.17935195742109</c:v>
                </c:pt>
                <c:pt idx="1">
                  <c:v>296.12031154674804</c:v>
                </c:pt>
                <c:pt idx="2">
                  <c:v>291.66818921652788</c:v>
                </c:pt>
                <c:pt idx="3">
                  <c:v>333.46407461874128</c:v>
                </c:pt>
                <c:pt idx="4">
                  <c:v>475.91261374108592</c:v>
                </c:pt>
              </c:numCache>
            </c:numRef>
          </c:val>
        </c:ser>
        <c:ser>
          <c:idx val="9"/>
          <c:order val="9"/>
          <c:tx>
            <c:strRef>
              <c:f>SUMMARY!$BJ$187</c:f>
              <c:strCache>
                <c:ptCount val="1"/>
                <c:pt idx="0">
                  <c:v>SO2</c:v>
                </c:pt>
              </c:strCache>
            </c:strRef>
          </c:tx>
          <c:spPr>
            <a:solidFill>
              <a:srgbClr val="CCCC00"/>
            </a:solidFill>
          </c:spPr>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SUMMARY!$BJ$188:$BJ$210</c:f>
              <c:numCache>
                <c:formatCode>"$"#,##0</c:formatCode>
                <c:ptCount val="23"/>
                <c:pt idx="0">
                  <c:v>412.88420411262837</c:v>
                </c:pt>
                <c:pt idx="1">
                  <c:v>485.95540241708989</c:v>
                </c:pt>
                <c:pt idx="2">
                  <c:v>556.99015577880436</c:v>
                </c:pt>
                <c:pt idx="3">
                  <c:v>895.9992717436171</c:v>
                </c:pt>
                <c:pt idx="4">
                  <c:v>1938.8143695072956</c:v>
                </c:pt>
              </c:numCache>
            </c:numRef>
          </c:val>
        </c:ser>
        <c:ser>
          <c:idx val="10"/>
          <c:order val="10"/>
          <c:tx>
            <c:strRef>
              <c:f>SUMMARY!$BK$187</c:f>
              <c:strCache>
                <c:ptCount val="1"/>
                <c:pt idx="0">
                  <c:v>VOC</c:v>
                </c:pt>
              </c:strCache>
            </c:strRef>
          </c:tx>
          <c:spPr>
            <a:solidFill>
              <a:schemeClr val="accent5">
                <a:lumMod val="40000"/>
                <a:lumOff val="60000"/>
              </a:schemeClr>
            </a:solidFill>
          </c:spPr>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SUMMARY!$BK$188:$BK$210</c:f>
              <c:numCache>
                <c:formatCode>"$"#,##0</c:formatCode>
                <c:ptCount val="23"/>
                <c:pt idx="0">
                  <c:v>227.045243863363</c:v>
                </c:pt>
                <c:pt idx="1">
                  <c:v>183.48724632642646</c:v>
                </c:pt>
                <c:pt idx="2">
                  <c:v>157.06115570665324</c:v>
                </c:pt>
                <c:pt idx="3">
                  <c:v>141.14460618054966</c:v>
                </c:pt>
                <c:pt idx="4">
                  <c:v>82.475839194839338</c:v>
                </c:pt>
              </c:numCache>
            </c:numRef>
          </c:val>
        </c:ser>
        <c:gapWidth val="25"/>
        <c:overlap val="100"/>
        <c:axId val="137147136"/>
        <c:axId val="137148672"/>
      </c:barChart>
      <c:lineChart>
        <c:grouping val="standard"/>
        <c:ser>
          <c:idx val="1"/>
          <c:order val="1"/>
          <c:tx>
            <c:strRef>
              <c:f>SUMMARY!$BB$187</c:f>
              <c:strCache>
                <c:ptCount val="1"/>
                <c:pt idx="0">
                  <c:v>Low Case</c:v>
                </c:pt>
              </c:strCache>
            </c:strRef>
          </c:tx>
          <c:spPr>
            <a:ln w="12700">
              <a:prstDash val="sysDot"/>
            </a:ln>
          </c:spPr>
          <c:marker>
            <c:symbol val="none"/>
          </c:marker>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SUMMARY!$BB$188:$BB$210</c:f>
              <c:numCache>
                <c:formatCode>"$"#,##0</c:formatCode>
                <c:ptCount val="23"/>
                <c:pt idx="6">
                  <c:v>4801.5346124455709</c:v>
                </c:pt>
                <c:pt idx="7">
                  <c:v>3910.2272578777161</c:v>
                </c:pt>
                <c:pt idx="8">
                  <c:v>3370.0383139340011</c:v>
                </c:pt>
                <c:pt idx="9">
                  <c:v>3373.8760335020688</c:v>
                </c:pt>
                <c:pt idx="10">
                  <c:v>2905.4301141452202</c:v>
                </c:pt>
                <c:pt idx="12">
                  <c:v>4303.7869450633434</c:v>
                </c:pt>
                <c:pt idx="13">
                  <c:v>3441.5908813958449</c:v>
                </c:pt>
                <c:pt idx="14">
                  <c:v>3278.0495496322947</c:v>
                </c:pt>
                <c:pt idx="15">
                  <c:v>3863.8057497200984</c:v>
                </c:pt>
                <c:pt idx="16">
                  <c:v>4600.0258722296448</c:v>
                </c:pt>
                <c:pt idx="18">
                  <c:v>4801.5346124455709</c:v>
                </c:pt>
                <c:pt idx="19">
                  <c:v>3910.2272578777161</c:v>
                </c:pt>
                <c:pt idx="20">
                  <c:v>3721.3997336908124</c:v>
                </c:pt>
                <c:pt idx="21">
                  <c:v>4449.8044436715054</c:v>
                </c:pt>
                <c:pt idx="22">
                  <c:v>5898.1858128104841</c:v>
                </c:pt>
              </c:numCache>
            </c:numRef>
          </c:val>
        </c:ser>
        <c:ser>
          <c:idx val="2"/>
          <c:order val="2"/>
          <c:tx>
            <c:strRef>
              <c:f>SUMMARY!$BC$187</c:f>
              <c:strCache>
                <c:ptCount val="1"/>
                <c:pt idx="0">
                  <c:v>High Case</c:v>
                </c:pt>
              </c:strCache>
            </c:strRef>
          </c:tx>
          <c:spPr>
            <a:ln w="12700">
              <a:solidFill>
                <a:schemeClr val="tx2"/>
              </a:solidFill>
              <a:prstDash val="sysDot"/>
            </a:ln>
          </c:spPr>
          <c:marker>
            <c:symbol val="none"/>
          </c:marker>
          <c:cat>
            <c:multiLvlStrRef>
              <c:f>SUMMARY!$AY$188:$AZ$210</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Grid Mix
Cases</c:v>
                  </c:pt>
                  <c:pt idx="11">
                    <c:v> </c:v>
                  </c:pt>
                  <c:pt idx="12">
                    <c:v>Driving Location Cases</c:v>
                  </c:pt>
                  <c:pt idx="17">
                    <c:v> </c:v>
                  </c:pt>
                  <c:pt idx="18">
                    <c:v>Li-ion Battery
Life Cases</c:v>
                  </c:pt>
                </c:lvl>
              </c:multiLvlStrCache>
            </c:multiLvlStrRef>
          </c:cat>
          <c:val>
            <c:numRef>
              <c:f>SUMMARY!$BC$188:$BC$210</c:f>
              <c:numCache>
                <c:formatCode>"$"#,##0</c:formatCode>
                <c:ptCount val="23"/>
                <c:pt idx="6">
                  <c:v>4801.5346124455709</c:v>
                </c:pt>
                <c:pt idx="7">
                  <c:v>3910.2272578777161</c:v>
                </c:pt>
                <c:pt idx="8">
                  <c:v>4087.298104563889</c:v>
                </c:pt>
                <c:pt idx="9">
                  <c:v>5481.3294921999168</c:v>
                </c:pt>
                <c:pt idx="10">
                  <c:v>7715.4820767452402</c:v>
                </c:pt>
                <c:pt idx="12">
                  <c:v>6697.6196125010074</c:v>
                </c:pt>
                <c:pt idx="13">
                  <c:v>5681.9958077039519</c:v>
                </c:pt>
                <c:pt idx="14">
                  <c:v>4979.6432883898633</c:v>
                </c:pt>
                <c:pt idx="15">
                  <c:v>5221.6914713399337</c:v>
                </c:pt>
                <c:pt idx="16">
                  <c:v>4942.5400357672734</c:v>
                </c:pt>
                <c:pt idx="18">
                  <c:v>4801.5346124455709</c:v>
                </c:pt>
                <c:pt idx="19">
                  <c:v>3910.2272578777161</c:v>
                </c:pt>
                <c:pt idx="20">
                  <c:v>3632.7889258841947</c:v>
                </c:pt>
                <c:pt idx="21">
                  <c:v>4145.8901532997616</c:v>
                </c:pt>
                <c:pt idx="22">
                  <c:v>4667.4752102121438</c:v>
                </c:pt>
              </c:numCache>
            </c:numRef>
          </c:val>
        </c:ser>
        <c:marker val="1"/>
        <c:axId val="137147136"/>
        <c:axId val="137148672"/>
      </c:lineChart>
      <c:catAx>
        <c:axId val="137147136"/>
        <c:scaling>
          <c:orientation val="minMax"/>
        </c:scaling>
        <c:axPos val="b"/>
        <c:majorTickMark val="none"/>
        <c:tickLblPos val="nextTo"/>
        <c:crossAx val="137148672"/>
        <c:crosses val="autoZero"/>
        <c:auto val="1"/>
        <c:lblAlgn val="ctr"/>
        <c:lblOffset val="100"/>
      </c:catAx>
      <c:valAx>
        <c:axId val="137148672"/>
        <c:scaling>
          <c:orientation val="minMax"/>
          <c:max val="12000"/>
        </c:scaling>
        <c:axPos val="l"/>
        <c:majorGridlines>
          <c:spPr>
            <a:ln>
              <a:solidFill>
                <a:schemeClr val="bg1">
                  <a:lumMod val="65000"/>
                </a:schemeClr>
              </a:solidFill>
            </a:ln>
          </c:spPr>
        </c:majorGridlines>
        <c:numFmt formatCode="&quot;$&quot;#,##0" sourceLinked="1"/>
        <c:tickLblPos val="nextTo"/>
        <c:crossAx val="137147136"/>
        <c:crosses val="autoZero"/>
        <c:crossBetween val="between"/>
      </c:valAx>
    </c:plotArea>
    <c:legend>
      <c:legendPos val="r"/>
      <c:layout>
        <c:manualLayout>
          <c:xMode val="edge"/>
          <c:yMode val="edge"/>
          <c:x val="0.79021441360834765"/>
          <c:y val="0.13891874220444991"/>
          <c:w val="0.20978563360487648"/>
          <c:h val="0.49121929036565692"/>
        </c:manualLayout>
      </c:layout>
    </c:legend>
    <c:plotVisOnly val="1"/>
    <c:dispBlanksAs val="gap"/>
  </c:chart>
  <c:spPr>
    <a:ln>
      <a:noFill/>
    </a:ln>
  </c:spPr>
  <c:printSettings>
    <c:headerFooter/>
    <c:pageMargins b="0.75000000000000844" l="0.70000000000000062" r="0.70000000000000062" t="0.75000000000000844"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a:pPr>
            <a:r>
              <a:rPr lang="en-US" sz="1200"/>
              <a:t>NPV of Lifetime Costs</a:t>
            </a:r>
            <a:r>
              <a:rPr lang="en-US" sz="1200" baseline="0"/>
              <a:t> with Sensitivity Analysis</a:t>
            </a:r>
            <a:endParaRPr lang="en-US" sz="1200"/>
          </a:p>
        </c:rich>
      </c:tx>
      <c:layout>
        <c:manualLayout>
          <c:xMode val="edge"/>
          <c:yMode val="edge"/>
          <c:x val="9.0148700220937739E-2"/>
          <c:y val="7.6103079185001424E-3"/>
        </c:manualLayout>
      </c:layout>
    </c:title>
    <c:plotArea>
      <c:layout>
        <c:manualLayout>
          <c:layoutTarget val="inner"/>
          <c:xMode val="edge"/>
          <c:yMode val="edge"/>
          <c:x val="0.11320892897273979"/>
          <c:y val="0.13141967611942298"/>
          <c:w val="0.62999079642902411"/>
          <c:h val="0.52200787186840825"/>
        </c:manualLayout>
      </c:layout>
      <c:barChart>
        <c:barDir val="col"/>
        <c:grouping val="stacked"/>
        <c:ser>
          <c:idx val="0"/>
          <c:order val="0"/>
          <c:tx>
            <c:strRef>
              <c:f>SUMMARY!$BT$114</c:f>
              <c:strCache>
                <c:ptCount val="1"/>
                <c:pt idx="0">
                  <c:v>Base Case</c:v>
                </c:pt>
              </c:strCache>
            </c:strRef>
          </c:tx>
          <c:spPr>
            <a:solidFill>
              <a:schemeClr val="tx1">
                <a:lumMod val="75000"/>
                <a:lumOff val="25000"/>
                <a:alpha val="25000"/>
              </a:schemeClr>
            </a:solidFill>
            <a:ln>
              <a:noFill/>
            </a:ln>
          </c:spPr>
          <c:errBars>
            <c:errBarType val="both"/>
            <c:errValType val="cust"/>
            <c:plus>
              <c:numRef>
                <c:f>SUMMARY!$CG$115:$CG$137</c:f>
                <c:numCache>
                  <c:formatCode>General</c:formatCode>
                  <c:ptCount val="23"/>
                  <c:pt idx="6">
                    <c:v>0.52660512940201443</c:v>
                  </c:pt>
                  <c:pt idx="7">
                    <c:v>-653.51696558976982</c:v>
                  </c:pt>
                  <c:pt idx="8">
                    <c:v>-1659.8593678798788</c:v>
                  </c:pt>
                  <c:pt idx="9">
                    <c:v>-6031.7351521878809</c:v>
                  </c:pt>
                  <c:pt idx="10">
                    <c:v>-21881.496336974946</c:v>
                  </c:pt>
                  <c:pt idx="12">
                    <c:v>5867.5036537361884</c:v>
                  </c:pt>
                  <c:pt idx="13">
                    <c:v>4191.0740383829907</c:v>
                  </c:pt>
                  <c:pt idx="14">
                    <c:v>3405.5408457582089</c:v>
                  </c:pt>
                  <c:pt idx="15">
                    <c:v>2949.5279610158177</c:v>
                  </c:pt>
                  <c:pt idx="16">
                    <c:v>0</c:v>
                  </c:pt>
                  <c:pt idx="18">
                    <c:v>0</c:v>
                  </c:pt>
                  <c:pt idx="19">
                    <c:v>0</c:v>
                  </c:pt>
                  <c:pt idx="20">
                    <c:v>0</c:v>
                  </c:pt>
                  <c:pt idx="21">
                    <c:v>0</c:v>
                  </c:pt>
                  <c:pt idx="22">
                    <c:v>0</c:v>
                  </c:pt>
                </c:numCache>
              </c:numRef>
            </c:plus>
            <c:minus>
              <c:numRef>
                <c:f>SUMMARY!$CF$115:$CF$137</c:f>
                <c:numCache>
                  <c:formatCode>General</c:formatCode>
                  <c:ptCount val="23"/>
                  <c:pt idx="6">
                    <c:v>0</c:v>
                  </c:pt>
                  <c:pt idx="7">
                    <c:v>0</c:v>
                  </c:pt>
                  <c:pt idx="8">
                    <c:v>0</c:v>
                  </c:pt>
                  <c:pt idx="9">
                    <c:v>0</c:v>
                  </c:pt>
                  <c:pt idx="10">
                    <c:v>0</c:v>
                  </c:pt>
                  <c:pt idx="12">
                    <c:v>5227.0259839355276</c:v>
                  </c:pt>
                  <c:pt idx="13">
                    <c:v>3733.5899885253748</c:v>
                  </c:pt>
                  <c:pt idx="14">
                    <c:v>3033.8030516260551</c:v>
                  </c:pt>
                  <c:pt idx="15">
                    <c:v>2627.5670544758759</c:v>
                  </c:pt>
                  <c:pt idx="16">
                    <c:v>0</c:v>
                  </c:pt>
                  <c:pt idx="18">
                    <c:v>0</c:v>
                  </c:pt>
                  <c:pt idx="19">
                    <c:v>0</c:v>
                  </c:pt>
                  <c:pt idx="20">
                    <c:v>-1747.1998962455182</c:v>
                  </c:pt>
                  <c:pt idx="21">
                    <c:v>-5805.3328394193595</c:v>
                  </c:pt>
                  <c:pt idx="22">
                    <c:v>-21366.738755518541</c:v>
                  </c:pt>
                </c:numCache>
              </c:numRef>
            </c:minus>
            <c:spPr>
              <a:ln w="12700">
                <a:solidFill>
                  <a:sysClr val="windowText" lastClr="000000"/>
                </a:solidFill>
              </a:ln>
            </c:spPr>
          </c:errBars>
          <c:cat>
            <c:multiLvlStrRef>
              <c:f>SUMMARY!$BR$115:$BS$137</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Vehicle
Cost Cases</c:v>
                  </c:pt>
                  <c:pt idx="11">
                    <c:v> </c:v>
                  </c:pt>
                  <c:pt idx="12">
                    <c:v>Gasoline
Price Cases</c:v>
                  </c:pt>
                  <c:pt idx="17">
                    <c:v> </c:v>
                  </c:pt>
                  <c:pt idx="18">
                    <c:v>Li-ion Batt.
Life Cases</c:v>
                  </c:pt>
                </c:lvl>
              </c:multiLvlStrCache>
            </c:multiLvlStrRef>
          </c:cat>
          <c:val>
            <c:numRef>
              <c:f>SUMMARY!$BT$115:$BT$137</c:f>
              <c:numCache>
                <c:formatCode>"$"#,##0</c:formatCode>
                <c:ptCount val="23"/>
                <c:pt idx="6">
                  <c:v>44587.220125613137</c:v>
                </c:pt>
                <c:pt idx="7">
                  <c:v>43587.2467938478</c:v>
                </c:pt>
                <c:pt idx="8">
                  <c:v>44342.078748103791</c:v>
                </c:pt>
                <c:pt idx="9">
                  <c:v>52780.398428948298</c:v>
                </c:pt>
                <c:pt idx="10">
                  <c:v>67031.631929099676</c:v>
                </c:pt>
                <c:pt idx="12">
                  <c:v>44587.220125613137</c:v>
                </c:pt>
                <c:pt idx="13">
                  <c:v>43587.2467938478</c:v>
                </c:pt>
                <c:pt idx="14">
                  <c:v>44342.078748103791</c:v>
                </c:pt>
                <c:pt idx="15">
                  <c:v>52780.398428948298</c:v>
                </c:pt>
                <c:pt idx="16">
                  <c:v>67031.631929099676</c:v>
                </c:pt>
                <c:pt idx="18">
                  <c:v>44587.220125613137</c:v>
                </c:pt>
                <c:pt idx="19">
                  <c:v>43587.2467938478</c:v>
                </c:pt>
                <c:pt idx="20">
                  <c:v>44342.078748103791</c:v>
                </c:pt>
                <c:pt idx="21">
                  <c:v>52780.398428948298</c:v>
                </c:pt>
                <c:pt idx="22">
                  <c:v>67031.631929099676</c:v>
                </c:pt>
              </c:numCache>
            </c:numRef>
          </c:val>
        </c:ser>
        <c:ser>
          <c:idx val="3"/>
          <c:order val="3"/>
          <c:tx>
            <c:strRef>
              <c:f>SUMMARY!$BW$114</c:f>
              <c:strCache>
                <c:ptCount val="1"/>
                <c:pt idx="0">
                  <c:v>Base Vehicle</c:v>
                </c:pt>
              </c:strCache>
            </c:strRef>
          </c:tx>
          <c:spPr>
            <a:solidFill>
              <a:schemeClr val="accent1">
                <a:lumMod val="75000"/>
              </a:schemeClr>
            </a:solidFill>
          </c:spPr>
          <c:cat>
            <c:multiLvlStrRef>
              <c:f>SUMMARY!$BR$115:$BS$137</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Vehicle
Cost Cases</c:v>
                  </c:pt>
                  <c:pt idx="11">
                    <c:v> </c:v>
                  </c:pt>
                  <c:pt idx="12">
                    <c:v>Gasoline
Price Cases</c:v>
                  </c:pt>
                  <c:pt idx="17">
                    <c:v> </c:v>
                  </c:pt>
                  <c:pt idx="18">
                    <c:v>Li-ion Batt.
Life Cases</c:v>
                  </c:pt>
                </c:lvl>
              </c:multiLvlStrCache>
            </c:multiLvlStrRef>
          </c:cat>
          <c:val>
            <c:numRef>
              <c:f>SUMMARY!$BW$115:$BW$137</c:f>
              <c:numCache>
                <c:formatCode>"$"#,##0</c:formatCode>
                <c:ptCount val="23"/>
                <c:pt idx="0">
                  <c:v>23019.490021615933</c:v>
                </c:pt>
                <c:pt idx="1">
                  <c:v>24799.941964129226</c:v>
                </c:pt>
                <c:pt idx="2">
                  <c:v>25665.680796868604</c:v>
                </c:pt>
                <c:pt idx="3">
                  <c:v>25728.873412397024</c:v>
                </c:pt>
                <c:pt idx="4">
                  <c:v>20496.524846643686</c:v>
                </c:pt>
              </c:numCache>
            </c:numRef>
          </c:val>
        </c:ser>
        <c:ser>
          <c:idx val="4"/>
          <c:order val="4"/>
          <c:tx>
            <c:strRef>
              <c:f>SUMMARY!$BX$114</c:f>
              <c:strCache>
                <c:ptCount val="1"/>
                <c:pt idx="0">
                  <c:v>Initial Battery</c:v>
                </c:pt>
              </c:strCache>
            </c:strRef>
          </c:tx>
          <c:spPr>
            <a:solidFill>
              <a:schemeClr val="accent1">
                <a:lumMod val="60000"/>
                <a:lumOff val="40000"/>
              </a:schemeClr>
            </a:solidFill>
          </c:spPr>
          <c:cat>
            <c:multiLvlStrRef>
              <c:f>SUMMARY!$BR$115:$BS$137</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Vehicle
Cost Cases</c:v>
                  </c:pt>
                  <c:pt idx="11">
                    <c:v> </c:v>
                  </c:pt>
                  <c:pt idx="12">
                    <c:v>Gasoline
Price Cases</c:v>
                  </c:pt>
                  <c:pt idx="17">
                    <c:v> </c:v>
                  </c:pt>
                  <c:pt idx="18">
                    <c:v>Li-ion Batt.
Life Cases</c:v>
                  </c:pt>
                </c:lvl>
              </c:multiLvlStrCache>
            </c:multiLvlStrRef>
          </c:cat>
          <c:val>
            <c:numRef>
              <c:f>SUMMARY!$BX$115:$BX$137</c:f>
              <c:numCache>
                <c:formatCode>"$"#,##0</c:formatCode>
                <c:ptCount val="23"/>
                <c:pt idx="0">
                  <c:v>0</c:v>
                </c:pt>
                <c:pt idx="1">
                  <c:v>2067.978343167611</c:v>
                </c:pt>
                <c:pt idx="2">
                  <c:v>2631.9724367587778</c:v>
                </c:pt>
                <c:pt idx="3">
                  <c:v>8730.0598352515044</c:v>
                </c:pt>
                <c:pt idx="4">
                  <c:v>31953.346041946596</c:v>
                </c:pt>
              </c:numCache>
            </c:numRef>
          </c:val>
        </c:ser>
        <c:ser>
          <c:idx val="5"/>
          <c:order val="5"/>
          <c:tx>
            <c:strRef>
              <c:f>SUMMARY!$BY$114</c:f>
              <c:strCache>
                <c:ptCount val="1"/>
                <c:pt idx="0">
                  <c:v>Replacement Battery</c:v>
                </c:pt>
              </c:strCache>
            </c:strRef>
          </c:tx>
          <c:spPr>
            <a:solidFill>
              <a:schemeClr val="accent1">
                <a:lumMod val="20000"/>
                <a:lumOff val="80000"/>
              </a:schemeClr>
            </a:solidFill>
          </c:spPr>
          <c:cat>
            <c:multiLvlStrRef>
              <c:f>SUMMARY!$BR$115:$BS$137</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Vehicle
Cost Cases</c:v>
                  </c:pt>
                  <c:pt idx="11">
                    <c:v> </c:v>
                  </c:pt>
                  <c:pt idx="12">
                    <c:v>Gasoline
Price Cases</c:v>
                  </c:pt>
                  <c:pt idx="17">
                    <c:v> </c:v>
                  </c:pt>
                  <c:pt idx="18">
                    <c:v>Li-ion Batt.
Life Cases</c:v>
                  </c:pt>
                </c:lvl>
              </c:multiLvlStrCache>
            </c:multiLvlStrRef>
          </c:cat>
          <c:val>
            <c:numRef>
              <c:f>SUMMARY!$BY$115:$BY$137</c:f>
              <c:numCache>
                <c:formatCode>"$"#,##0</c:formatCode>
                <c:ptCount val="23"/>
                <c:pt idx="0">
                  <c:v>0</c:v>
                </c:pt>
                <c:pt idx="1">
                  <c:v>0</c:v>
                </c:pt>
                <c:pt idx="2">
                  <c:v>0</c:v>
                </c:pt>
                <c:pt idx="3">
                  <c:v>0</c:v>
                </c:pt>
                <c:pt idx="4">
                  <c:v>0</c:v>
                </c:pt>
              </c:numCache>
            </c:numRef>
          </c:val>
        </c:ser>
        <c:ser>
          <c:idx val="6"/>
          <c:order val="6"/>
          <c:tx>
            <c:strRef>
              <c:f>SUMMARY!$BZ$114</c:f>
              <c:strCache>
                <c:ptCount val="1"/>
                <c:pt idx="0">
                  <c:v>Gasoline</c:v>
                </c:pt>
              </c:strCache>
            </c:strRef>
          </c:tx>
          <c:spPr>
            <a:solidFill>
              <a:schemeClr val="tx1">
                <a:lumMod val="75000"/>
                <a:lumOff val="25000"/>
              </a:schemeClr>
            </a:solidFill>
          </c:spPr>
          <c:cat>
            <c:multiLvlStrRef>
              <c:f>SUMMARY!$BR$115:$BS$137</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Vehicle
Cost Cases</c:v>
                  </c:pt>
                  <c:pt idx="11">
                    <c:v> </c:v>
                  </c:pt>
                  <c:pt idx="12">
                    <c:v>Gasoline
Price Cases</c:v>
                  </c:pt>
                  <c:pt idx="17">
                    <c:v> </c:v>
                  </c:pt>
                  <c:pt idx="18">
                    <c:v>Li-ion Batt.
Life Cases</c:v>
                  </c:pt>
                </c:lvl>
              </c:multiLvlStrCache>
            </c:multiLvlStrRef>
          </c:cat>
          <c:val>
            <c:numRef>
              <c:f>SUMMARY!$BZ$115:$BZ$137</c:f>
              <c:numCache>
                <c:formatCode>"$"#,##0</c:formatCode>
                <c:ptCount val="23"/>
                <c:pt idx="0">
                  <c:v>12386.239508244789</c:v>
                </c:pt>
                <c:pt idx="1">
                  <c:v>8847.3139344605643</c:v>
                </c:pt>
                <c:pt idx="2">
                  <c:v>7189.0614919024256</c:v>
                </c:pt>
                <c:pt idx="3">
                  <c:v>6226.4230100894329</c:v>
                </c:pt>
                <c:pt idx="4">
                  <c:v>0</c:v>
                </c:pt>
              </c:numCache>
            </c:numRef>
          </c:val>
        </c:ser>
        <c:ser>
          <c:idx val="7"/>
          <c:order val="7"/>
          <c:tx>
            <c:strRef>
              <c:f>SUMMARY!$CA$114</c:f>
              <c:strCache>
                <c:ptCount val="1"/>
                <c:pt idx="0">
                  <c:v>Electricity</c:v>
                </c:pt>
              </c:strCache>
            </c:strRef>
          </c:tx>
          <c:spPr>
            <a:solidFill>
              <a:srgbClr val="CCCC00"/>
            </a:solidFill>
          </c:spPr>
          <c:cat>
            <c:multiLvlStrRef>
              <c:f>SUMMARY!$BR$115:$BS$137</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Vehicle
Cost Cases</c:v>
                  </c:pt>
                  <c:pt idx="11">
                    <c:v> </c:v>
                  </c:pt>
                  <c:pt idx="12">
                    <c:v>Gasoline
Price Cases</c:v>
                  </c:pt>
                  <c:pt idx="17">
                    <c:v> </c:v>
                  </c:pt>
                  <c:pt idx="18">
                    <c:v>Li-ion Batt.
Life Cases</c:v>
                  </c:pt>
                </c:lvl>
              </c:multiLvlStrCache>
            </c:multiLvlStrRef>
          </c:cat>
          <c:val>
            <c:numRef>
              <c:f>SUMMARY!$CA$115:$CA$137</c:f>
              <c:numCache>
                <c:formatCode>"$"#,##0</c:formatCode>
                <c:ptCount val="23"/>
                <c:pt idx="0">
                  <c:v>0</c:v>
                </c:pt>
                <c:pt idx="1">
                  <c:v>0</c:v>
                </c:pt>
                <c:pt idx="2">
                  <c:v>787.62568701449754</c:v>
                </c:pt>
                <c:pt idx="3">
                  <c:v>2314.2026082352727</c:v>
                </c:pt>
                <c:pt idx="4">
                  <c:v>5281.9362399936672</c:v>
                </c:pt>
              </c:numCache>
            </c:numRef>
          </c:val>
        </c:ser>
        <c:ser>
          <c:idx val="8"/>
          <c:order val="8"/>
          <c:tx>
            <c:strRef>
              <c:f>SUMMARY!$CD$114</c:f>
              <c:strCache>
                <c:ptCount val="1"/>
                <c:pt idx="0">
                  <c:v>Air Emissions Damages</c:v>
                </c:pt>
              </c:strCache>
            </c:strRef>
          </c:tx>
          <c:spPr>
            <a:solidFill>
              <a:srgbClr val="C00000"/>
            </a:solidFill>
          </c:spPr>
          <c:cat>
            <c:multiLvlStrRef>
              <c:f>SUMMARY!$BR$115:$BS$137</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Vehicle
Cost Cases</c:v>
                  </c:pt>
                  <c:pt idx="11">
                    <c:v> </c:v>
                  </c:pt>
                  <c:pt idx="12">
                    <c:v>Gasoline
Price Cases</c:v>
                  </c:pt>
                  <c:pt idx="17">
                    <c:v> </c:v>
                  </c:pt>
                  <c:pt idx="18">
                    <c:v>Li-ion Batt.
Life Cases</c:v>
                  </c:pt>
                </c:lvl>
              </c:multiLvlStrCache>
            </c:multiLvlStrRef>
          </c:cat>
          <c:val>
            <c:numRef>
              <c:f>SUMMARY!$CD$115:$CD$137</c:f>
              <c:numCache>
                <c:formatCode>"$"#,##0</c:formatCode>
                <c:ptCount val="23"/>
                <c:pt idx="0">
                  <c:v>3517.2943095706469</c:v>
                </c:pt>
                <c:pt idx="1">
                  <c:v>2992.9127558241985</c:v>
                </c:pt>
                <c:pt idx="2">
                  <c:v>2887.4067215758</c:v>
                </c:pt>
                <c:pt idx="3">
                  <c:v>3500.3170262031931</c:v>
                </c:pt>
                <c:pt idx="4">
                  <c:v>4667.4752102121438</c:v>
                </c:pt>
              </c:numCache>
            </c:numRef>
          </c:val>
        </c:ser>
        <c:gapWidth val="25"/>
        <c:overlap val="100"/>
        <c:axId val="137429376"/>
        <c:axId val="137430912"/>
      </c:barChart>
      <c:lineChart>
        <c:grouping val="standard"/>
        <c:ser>
          <c:idx val="1"/>
          <c:order val="1"/>
          <c:tx>
            <c:strRef>
              <c:f>SUMMARY!$BU$114</c:f>
              <c:strCache>
                <c:ptCount val="1"/>
                <c:pt idx="0">
                  <c:v>Low Case</c:v>
                </c:pt>
              </c:strCache>
            </c:strRef>
          </c:tx>
          <c:spPr>
            <a:ln w="12700">
              <a:prstDash val="sysDot"/>
            </a:ln>
          </c:spPr>
          <c:marker>
            <c:symbol val="none"/>
          </c:marker>
          <c:cat>
            <c:multiLvlStrRef>
              <c:f>SUMMARY!$BR$115:$BS$137</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Vehicle
Cost Cases</c:v>
                  </c:pt>
                  <c:pt idx="11">
                    <c:v> </c:v>
                  </c:pt>
                  <c:pt idx="12">
                    <c:v>Gasoline
Price Cases</c:v>
                  </c:pt>
                  <c:pt idx="17">
                    <c:v> </c:v>
                  </c:pt>
                  <c:pt idx="18">
                    <c:v>Li-ion Batt.
Life Cases</c:v>
                  </c:pt>
                </c:lvl>
              </c:multiLvlStrCache>
            </c:multiLvlStrRef>
          </c:cat>
          <c:val>
            <c:numRef>
              <c:f>SUMMARY!$BU$115:$BU$137</c:f>
              <c:numCache>
                <c:formatCode>"$"#,##0</c:formatCode>
                <c:ptCount val="23"/>
                <c:pt idx="6">
                  <c:v>44587.220125613137</c:v>
                </c:pt>
                <c:pt idx="7">
                  <c:v>43587.2467938478</c:v>
                </c:pt>
                <c:pt idx="8">
                  <c:v>44342.078748103791</c:v>
                </c:pt>
                <c:pt idx="9">
                  <c:v>52780.398428948298</c:v>
                </c:pt>
                <c:pt idx="10">
                  <c:v>67031.631929099676</c:v>
                </c:pt>
                <c:pt idx="12">
                  <c:v>39360.19414167761</c:v>
                </c:pt>
                <c:pt idx="13">
                  <c:v>39853.656805322425</c:v>
                </c:pt>
                <c:pt idx="14">
                  <c:v>41308.275696477736</c:v>
                </c:pt>
                <c:pt idx="15">
                  <c:v>50152.831374472422</c:v>
                </c:pt>
                <c:pt idx="16">
                  <c:v>67031.631929099676</c:v>
                </c:pt>
                <c:pt idx="18">
                  <c:v>44587.220125613137</c:v>
                </c:pt>
                <c:pt idx="19">
                  <c:v>43587.2467938478</c:v>
                </c:pt>
                <c:pt idx="20">
                  <c:v>46089.27864434931</c:v>
                </c:pt>
                <c:pt idx="21">
                  <c:v>58585.731268367657</c:v>
                </c:pt>
                <c:pt idx="22">
                  <c:v>88398.370684618218</c:v>
                </c:pt>
              </c:numCache>
            </c:numRef>
          </c:val>
        </c:ser>
        <c:ser>
          <c:idx val="2"/>
          <c:order val="2"/>
          <c:tx>
            <c:strRef>
              <c:f>SUMMARY!$BV$114</c:f>
              <c:strCache>
                <c:ptCount val="1"/>
                <c:pt idx="0">
                  <c:v>High Case</c:v>
                </c:pt>
              </c:strCache>
            </c:strRef>
          </c:tx>
          <c:spPr>
            <a:ln w="12700">
              <a:solidFill>
                <a:schemeClr val="tx2"/>
              </a:solidFill>
              <a:prstDash val="sysDot"/>
            </a:ln>
          </c:spPr>
          <c:marker>
            <c:symbol val="none"/>
          </c:marker>
          <c:cat>
            <c:multiLvlStrRef>
              <c:f>SUMMARY!$BR$115:$BS$137</c:f>
              <c:multiLvlStrCache>
                <c:ptCount val="2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lvl>
                <c:lvl>
                  <c:pt idx="0">
                    <c:v>Base
Case </c:v>
                  </c:pt>
                  <c:pt idx="5">
                    <c:v> </c:v>
                  </c:pt>
                  <c:pt idx="6">
                    <c:v>Vehicle
Cost Cases</c:v>
                  </c:pt>
                  <c:pt idx="11">
                    <c:v> </c:v>
                  </c:pt>
                  <c:pt idx="12">
                    <c:v>Gasoline
Price Cases</c:v>
                  </c:pt>
                  <c:pt idx="17">
                    <c:v> </c:v>
                  </c:pt>
                  <c:pt idx="18">
                    <c:v>Li-ion Batt.
Life Cases</c:v>
                  </c:pt>
                </c:lvl>
              </c:multiLvlStrCache>
            </c:multiLvlStrRef>
          </c:cat>
          <c:val>
            <c:numRef>
              <c:f>SUMMARY!$BV$115:$BV$137</c:f>
              <c:numCache>
                <c:formatCode>"$"#,##0</c:formatCode>
                <c:ptCount val="23"/>
                <c:pt idx="6">
                  <c:v>44587.74673074254</c:v>
                </c:pt>
                <c:pt idx="7">
                  <c:v>42933.72982825803</c:v>
                </c:pt>
                <c:pt idx="8">
                  <c:v>42682.219380223913</c:v>
                </c:pt>
                <c:pt idx="9">
                  <c:v>46748.663276760417</c:v>
                </c:pt>
                <c:pt idx="10">
                  <c:v>45150.13559212473</c:v>
                </c:pt>
                <c:pt idx="12">
                  <c:v>50454.723779349326</c:v>
                </c:pt>
                <c:pt idx="13">
                  <c:v>47778.320832230791</c:v>
                </c:pt>
                <c:pt idx="14">
                  <c:v>47747.619593862</c:v>
                </c:pt>
                <c:pt idx="15">
                  <c:v>55729.926389964116</c:v>
                </c:pt>
                <c:pt idx="16">
                  <c:v>67031.631929099676</c:v>
                </c:pt>
                <c:pt idx="18">
                  <c:v>44587.220125613137</c:v>
                </c:pt>
                <c:pt idx="19">
                  <c:v>43587.2467938478</c:v>
                </c:pt>
                <c:pt idx="20">
                  <c:v>44342.078748103791</c:v>
                </c:pt>
                <c:pt idx="21">
                  <c:v>52780.398428948298</c:v>
                </c:pt>
                <c:pt idx="22">
                  <c:v>67031.631929099676</c:v>
                </c:pt>
              </c:numCache>
            </c:numRef>
          </c:val>
        </c:ser>
        <c:marker val="1"/>
        <c:axId val="137429376"/>
        <c:axId val="137430912"/>
      </c:lineChart>
      <c:catAx>
        <c:axId val="137429376"/>
        <c:scaling>
          <c:orientation val="minMax"/>
        </c:scaling>
        <c:axPos val="b"/>
        <c:majorTickMark val="none"/>
        <c:tickLblPos val="nextTo"/>
        <c:crossAx val="137430912"/>
        <c:crosses val="autoZero"/>
        <c:auto val="1"/>
        <c:lblAlgn val="ctr"/>
        <c:lblOffset val="100"/>
      </c:catAx>
      <c:valAx>
        <c:axId val="137430912"/>
        <c:scaling>
          <c:orientation val="minMax"/>
          <c:max val="80000"/>
        </c:scaling>
        <c:axPos val="l"/>
        <c:majorGridlines>
          <c:spPr>
            <a:ln>
              <a:solidFill>
                <a:schemeClr val="bg1">
                  <a:lumMod val="65000"/>
                </a:schemeClr>
              </a:solidFill>
            </a:ln>
          </c:spPr>
        </c:majorGridlines>
        <c:numFmt formatCode="&quot;$&quot;#,##0" sourceLinked="1"/>
        <c:tickLblPos val="nextTo"/>
        <c:crossAx val="137429376"/>
        <c:crosses val="autoZero"/>
        <c:crossBetween val="between"/>
        <c:majorUnit val="20000"/>
      </c:valAx>
    </c:plotArea>
    <c:legend>
      <c:legendPos val="r"/>
      <c:legendEntry>
        <c:idx val="3"/>
        <c:delete val="1"/>
      </c:legendEntry>
      <c:layout>
        <c:manualLayout>
          <c:xMode val="edge"/>
          <c:yMode val="edge"/>
          <c:x val="0.77441948173089081"/>
          <c:y val="0.16744657366153701"/>
          <c:w val="0.22549804232248544"/>
          <c:h val="0.42990992951383705"/>
        </c:manualLayout>
      </c:layout>
    </c:legend>
    <c:plotVisOnly val="1"/>
    <c:dispBlanksAs val="gap"/>
  </c:chart>
  <c:spPr>
    <a:ln>
      <a:noFill/>
    </a:ln>
  </c:spPr>
  <c:printSettings>
    <c:headerFooter/>
    <c:pageMargins b="0.75000000000000866" l="0.70000000000000062" r="0.70000000000000062" t="0.7500000000000086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a:pPr>
            <a:r>
              <a:rPr lang="en-US" sz="1800"/>
              <a:t>Purchasing Power of $1.5B </a:t>
            </a:r>
            <a:br>
              <a:rPr lang="en-US" sz="1800"/>
            </a:br>
            <a:r>
              <a:rPr lang="en-US" sz="1200"/>
              <a:t>(Base Case)</a:t>
            </a:r>
          </a:p>
        </c:rich>
      </c:tx>
    </c:title>
    <c:plotArea>
      <c:layout>
        <c:manualLayout>
          <c:layoutTarget val="inner"/>
          <c:xMode val="edge"/>
          <c:yMode val="edge"/>
          <c:x val="0.20774517302314061"/>
          <c:y val="0.21232882230446029"/>
          <c:w val="0.57428601295598625"/>
          <c:h val="0.58934341674095536"/>
        </c:manualLayout>
      </c:layout>
      <c:barChart>
        <c:barDir val="col"/>
        <c:grouping val="clustered"/>
        <c:ser>
          <c:idx val="0"/>
          <c:order val="0"/>
          <c:tx>
            <c:strRef>
              <c:f>SUMMARY!$I$55</c:f>
              <c:strCache>
                <c:ptCount val="1"/>
                <c:pt idx="0">
                  <c:v># Purchase Premium (Thousands)</c:v>
                </c:pt>
              </c:strCache>
            </c:strRef>
          </c:tx>
          <c:cat>
            <c:strRef>
              <c:f>SUMMARY!$H$56:$H$59</c:f>
              <c:strCache>
                <c:ptCount val="4"/>
                <c:pt idx="0">
                  <c:v>HEV</c:v>
                </c:pt>
                <c:pt idx="1">
                  <c:v>PHEV20</c:v>
                </c:pt>
                <c:pt idx="2">
                  <c:v>PHEV60</c:v>
                </c:pt>
                <c:pt idx="3">
                  <c:v>BEV240</c:v>
                </c:pt>
              </c:strCache>
            </c:strRef>
          </c:cat>
          <c:val>
            <c:numRef>
              <c:f>SUMMARY!$I$56:$I$59</c:f>
              <c:numCache>
                <c:formatCode>#,##0</c:formatCode>
                <c:ptCount val="4"/>
                <c:pt idx="0">
                  <c:v>389.76930557405285</c:v>
                </c:pt>
                <c:pt idx="1">
                  <c:v>284.18977203783112</c:v>
                </c:pt>
                <c:pt idx="2">
                  <c:v>131.12526286126138</c:v>
                </c:pt>
                <c:pt idx="3">
                  <c:v>50.967739995619382</c:v>
                </c:pt>
              </c:numCache>
            </c:numRef>
          </c:val>
        </c:ser>
        <c:gapWidth val="47"/>
        <c:overlap val="-100"/>
        <c:axId val="137462528"/>
        <c:axId val="137464832"/>
      </c:barChart>
      <c:lineChart>
        <c:grouping val="standard"/>
        <c:ser>
          <c:idx val="1"/>
          <c:order val="1"/>
          <c:tx>
            <c:strRef>
              <c:f>SUMMARY!$J$55</c:f>
              <c:strCache>
                <c:ptCount val="1"/>
                <c:pt idx="0">
                  <c:v>Damages reduced (Millions)</c:v>
                </c:pt>
              </c:strCache>
            </c:strRef>
          </c:tx>
          <c:spPr>
            <a:ln>
              <a:prstDash val="sysDot"/>
            </a:ln>
          </c:spPr>
          <c:cat>
            <c:strRef>
              <c:f>SUMMARY!$H$56:$H$59</c:f>
              <c:strCache>
                <c:ptCount val="4"/>
                <c:pt idx="0">
                  <c:v>HEV</c:v>
                </c:pt>
                <c:pt idx="1">
                  <c:v>PHEV20</c:v>
                </c:pt>
                <c:pt idx="2">
                  <c:v>PHEV60</c:v>
                </c:pt>
                <c:pt idx="3">
                  <c:v>BEV240</c:v>
                </c:pt>
              </c:strCache>
            </c:strRef>
          </c:cat>
          <c:val>
            <c:numRef>
              <c:f>SUMMARY!$J$56:$J$59</c:f>
              <c:numCache>
                <c:formatCode>"$"#,##0</c:formatCode>
                <c:ptCount val="4"/>
                <c:pt idx="0">
                  <c:v>347.40424864295886</c:v>
                </c:pt>
                <c:pt idx="1">
                  <c:v>332.14557023407599</c:v>
                </c:pt>
                <c:pt idx="2">
                  <c:v>85.971552049023813</c:v>
                </c:pt>
                <c:pt idx="3">
                  <c:v>6.832704757001471</c:v>
                </c:pt>
              </c:numCache>
            </c:numRef>
          </c:val>
        </c:ser>
        <c:marker val="1"/>
        <c:axId val="137620480"/>
        <c:axId val="137618560"/>
      </c:lineChart>
      <c:catAx>
        <c:axId val="137462528"/>
        <c:scaling>
          <c:orientation val="minMax"/>
        </c:scaling>
        <c:axPos val="b"/>
        <c:title>
          <c:tx>
            <c:rich>
              <a:bodyPr/>
              <a:lstStyle/>
              <a:p>
                <a:pPr>
                  <a:defRPr sz="1050">
                    <a:solidFill>
                      <a:schemeClr val="tx1">
                        <a:lumMod val="50000"/>
                        <a:lumOff val="50000"/>
                      </a:schemeClr>
                    </a:solidFill>
                  </a:defRPr>
                </a:pPr>
                <a:r>
                  <a:rPr lang="en-US" sz="1050">
                    <a:solidFill>
                      <a:schemeClr val="tx1">
                        <a:lumMod val="50000"/>
                        <a:lumOff val="50000"/>
                      </a:schemeClr>
                    </a:solidFill>
                  </a:rPr>
                  <a:t>Type of Vehicle to Subsidize</a:t>
                </a:r>
              </a:p>
            </c:rich>
          </c:tx>
        </c:title>
        <c:majorTickMark val="none"/>
        <c:tickLblPos val="nextTo"/>
        <c:txPr>
          <a:bodyPr/>
          <a:lstStyle/>
          <a:p>
            <a:pPr>
              <a:defRPr b="1"/>
            </a:pPr>
            <a:endParaRPr lang="en-US"/>
          </a:p>
        </c:txPr>
        <c:crossAx val="137464832"/>
        <c:crosses val="autoZero"/>
        <c:auto val="1"/>
        <c:lblAlgn val="ctr"/>
        <c:lblOffset val="100"/>
      </c:catAx>
      <c:valAx>
        <c:axId val="137464832"/>
        <c:scaling>
          <c:orientation val="minMax"/>
          <c:max val="400"/>
          <c:min val="0"/>
        </c:scaling>
        <c:axPos val="l"/>
        <c:title>
          <c:tx>
            <c:rich>
              <a:bodyPr rot="-5400000" vert="horz"/>
              <a:lstStyle/>
              <a:p>
                <a:pPr>
                  <a:defRPr sz="1200">
                    <a:solidFill>
                      <a:schemeClr val="accent1"/>
                    </a:solidFill>
                  </a:defRPr>
                </a:pPr>
                <a:r>
                  <a:rPr lang="en-US" sz="1200">
                    <a:solidFill>
                      <a:schemeClr val="accent1"/>
                    </a:solidFill>
                  </a:rPr>
                  <a:t>Num. Vehicle Premiums</a:t>
                </a:r>
                <a:r>
                  <a:rPr lang="en-US" sz="1200" baseline="0">
                    <a:solidFill>
                      <a:schemeClr val="accent1"/>
                    </a:solidFill>
                  </a:rPr>
                  <a:t> </a:t>
                </a:r>
                <a:br>
                  <a:rPr lang="en-US" sz="1200" baseline="0">
                    <a:solidFill>
                      <a:schemeClr val="accent1"/>
                    </a:solidFill>
                  </a:rPr>
                </a:br>
                <a:r>
                  <a:rPr lang="en-US" sz="1200">
                    <a:solidFill>
                      <a:schemeClr val="accent1"/>
                    </a:solidFill>
                  </a:rPr>
                  <a:t>Subsidized (Thousands)</a:t>
                </a:r>
              </a:p>
            </c:rich>
          </c:tx>
          <c:layout>
            <c:manualLayout>
              <c:xMode val="edge"/>
              <c:yMode val="edge"/>
              <c:x val="3.5061469511372674E-3"/>
              <c:y val="0.19958701930570905"/>
            </c:manualLayout>
          </c:layout>
        </c:title>
        <c:numFmt formatCode="#,##0" sourceLinked="1"/>
        <c:majorTickMark val="in"/>
        <c:tickLblPos val="nextTo"/>
        <c:txPr>
          <a:bodyPr/>
          <a:lstStyle/>
          <a:p>
            <a:pPr>
              <a:defRPr b="1" baseline="0">
                <a:solidFill>
                  <a:schemeClr val="accent1"/>
                </a:solidFill>
              </a:defRPr>
            </a:pPr>
            <a:endParaRPr lang="en-US"/>
          </a:p>
        </c:txPr>
        <c:crossAx val="137462528"/>
        <c:crosses val="autoZero"/>
        <c:crossBetween val="between"/>
        <c:majorUnit val="100"/>
      </c:valAx>
      <c:valAx>
        <c:axId val="137618560"/>
        <c:scaling>
          <c:orientation val="minMax"/>
          <c:max val="400"/>
          <c:min val="0"/>
        </c:scaling>
        <c:axPos val="r"/>
        <c:title>
          <c:tx>
            <c:rich>
              <a:bodyPr rot="-5400000" vert="horz"/>
              <a:lstStyle/>
              <a:p>
                <a:pPr>
                  <a:defRPr sz="1100">
                    <a:solidFill>
                      <a:schemeClr val="accent2"/>
                    </a:solidFill>
                  </a:defRPr>
                </a:pPr>
                <a:r>
                  <a:rPr lang="en-US" sz="1100">
                    <a:solidFill>
                      <a:schemeClr val="accent2"/>
                    </a:solidFill>
                  </a:rPr>
                  <a:t>Net Air Emissions Damage &amp; Oil </a:t>
                </a:r>
                <a:br>
                  <a:rPr lang="en-US" sz="1100">
                    <a:solidFill>
                      <a:schemeClr val="accent2"/>
                    </a:solidFill>
                  </a:rPr>
                </a:br>
                <a:r>
                  <a:rPr lang="en-US" sz="1100">
                    <a:solidFill>
                      <a:schemeClr val="accent2"/>
                    </a:solidFill>
                  </a:rPr>
                  <a:t>Premium</a:t>
                </a:r>
                <a:r>
                  <a:rPr lang="en-US" sz="1100" baseline="0">
                    <a:solidFill>
                      <a:schemeClr val="accent2"/>
                    </a:solidFill>
                  </a:rPr>
                  <a:t> Cost </a:t>
                </a:r>
                <a:r>
                  <a:rPr lang="en-US" sz="1100">
                    <a:solidFill>
                      <a:schemeClr val="accent2"/>
                    </a:solidFill>
                  </a:rPr>
                  <a:t>Reduction </a:t>
                </a:r>
                <a:r>
                  <a:rPr lang="en-US" sz="1100" baseline="0">
                    <a:solidFill>
                      <a:schemeClr val="accent2"/>
                    </a:solidFill>
                  </a:rPr>
                  <a:t>(Millions)</a:t>
                </a:r>
                <a:endParaRPr lang="en-US" sz="1100">
                  <a:solidFill>
                    <a:schemeClr val="accent2"/>
                  </a:solidFill>
                </a:endParaRPr>
              </a:p>
            </c:rich>
          </c:tx>
          <c:layout>
            <c:manualLayout>
              <c:xMode val="edge"/>
              <c:yMode val="edge"/>
              <c:x val="0.89372613827142866"/>
              <c:y val="0.12378527105579799"/>
            </c:manualLayout>
          </c:layout>
        </c:title>
        <c:numFmt formatCode="&quot;$&quot;#,##0" sourceLinked="0"/>
        <c:majorTickMark val="in"/>
        <c:tickLblPos val="nextTo"/>
        <c:txPr>
          <a:bodyPr/>
          <a:lstStyle/>
          <a:p>
            <a:pPr>
              <a:defRPr b="1" baseline="0">
                <a:solidFill>
                  <a:srgbClr val="C00000"/>
                </a:solidFill>
              </a:defRPr>
            </a:pPr>
            <a:endParaRPr lang="en-US"/>
          </a:p>
        </c:txPr>
        <c:crossAx val="137620480"/>
        <c:crosses val="max"/>
        <c:crossBetween val="between"/>
        <c:majorUnit val="100"/>
      </c:valAx>
      <c:catAx>
        <c:axId val="137620480"/>
        <c:scaling>
          <c:orientation val="minMax"/>
        </c:scaling>
        <c:delete val="1"/>
        <c:axPos val="b"/>
        <c:tickLblPos val="none"/>
        <c:crossAx val="137618560"/>
        <c:crosses val="autoZero"/>
        <c:auto val="1"/>
        <c:lblAlgn val="ctr"/>
        <c:lblOffset val="100"/>
      </c:catAx>
    </c:plotArea>
    <c:plotVisOnly val="1"/>
    <c:dispBlanksAs val="gap"/>
  </c:chart>
  <c:spPr>
    <a:ln>
      <a:noFill/>
    </a:ln>
  </c:spPr>
  <c:printSettings>
    <c:headerFooter/>
    <c:pageMargins b="0.75000000000000133" l="0.70000000000000062" r="0.70000000000000062" t="0.750000000000001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6.7271067227242021E-2"/>
          <c:y val="0.13141967611942298"/>
          <c:w val="0.80589862562234205"/>
          <c:h val="0.52200787186840825"/>
        </c:manualLayout>
      </c:layout>
      <c:barChart>
        <c:barDir val="col"/>
        <c:grouping val="stacked"/>
        <c:ser>
          <c:idx val="0"/>
          <c:order val="0"/>
          <c:tx>
            <c:strRef>
              <c:f>SUMMARY!$BA$42</c:f>
              <c:strCache>
                <c:ptCount val="1"/>
                <c:pt idx="0">
                  <c:v>Base Case</c:v>
                </c:pt>
              </c:strCache>
            </c:strRef>
          </c:tx>
          <c:spPr>
            <a:solidFill>
              <a:schemeClr val="bg1">
                <a:lumMod val="85000"/>
              </a:schemeClr>
            </a:solidFill>
            <a:ln>
              <a:solidFill>
                <a:schemeClr val="bg1">
                  <a:lumMod val="65000"/>
                </a:schemeClr>
              </a:solidFill>
            </a:ln>
          </c:spPr>
          <c:errBars>
            <c:errBarType val="both"/>
            <c:errValType val="cust"/>
            <c:plus>
              <c:numRef>
                <c:f>SUMMARY!$BP$97:$BP$143</c:f>
                <c:numCache>
                  <c:formatCode>General</c:formatCode>
                  <c:ptCount val="47"/>
                  <c:pt idx="0">
                    <c:v>-519.69133761941521</c:v>
                  </c:pt>
                  <c:pt idx="1">
                    <c:v>-370.99998710190357</c:v>
                  </c:pt>
                  <c:pt idx="2">
                    <c:v>-388.14286043364746</c:v>
                  </c:pt>
                  <c:pt idx="3">
                    <c:v>-414.3830436557173</c:v>
                  </c:pt>
                  <c:pt idx="4">
                    <c:v>-370.35506713435188</c:v>
                  </c:pt>
                  <c:pt idx="6">
                    <c:v>0</c:v>
                  </c:pt>
                  <c:pt idx="7">
                    <c:v>0</c:v>
                  </c:pt>
                  <c:pt idx="8">
                    <c:v>0</c:v>
                  </c:pt>
                  <c:pt idx="9">
                    <c:v>0</c:v>
                  </c:pt>
                  <c:pt idx="10">
                    <c:v>0</c:v>
                  </c:pt>
                  <c:pt idx="12">
                    <c:v>1896.0850000554365</c:v>
                  </c:pt>
                  <c:pt idx="13">
                    <c:v>1771.7685498262358</c:v>
                  </c:pt>
                  <c:pt idx="14">
                    <c:v>1346.8543625056686</c:v>
                  </c:pt>
                  <c:pt idx="15">
                    <c:v>1075.8013180401722</c:v>
                  </c:pt>
                  <c:pt idx="16">
                    <c:v>275.06482555512957</c:v>
                  </c:pt>
                  <c:pt idx="18">
                    <c:v>4724.3955723024001</c:v>
                  </c:pt>
                  <c:pt idx="19">
                    <c:v>3577.988374826356</c:v>
                  </c:pt>
                  <c:pt idx="20">
                    <c:v>3432.3108820957164</c:v>
                  </c:pt>
                  <c:pt idx="21">
                    <c:v>4045.8351978577039</c:v>
                  </c:pt>
                  <c:pt idx="22">
                    <c:v>4255.5373357618355</c:v>
                  </c:pt>
                  <c:pt idx="24">
                    <c:v>711.98495521188306</c:v>
                  </c:pt>
                  <c:pt idx="25">
                    <c:v>508.56068229420225</c:v>
                  </c:pt>
                  <c:pt idx="26">
                    <c:v>413.24113108910387</c:v>
                  </c:pt>
                  <c:pt idx="27">
                    <c:v>357.90681304183636</c:v>
                  </c:pt>
                  <c:pt idx="28">
                    <c:v>0</c:v>
                  </c:pt>
                  <c:pt idx="30">
                    <c:v>885.1275222831955</c:v>
                  </c:pt>
                  <c:pt idx="31">
                    <c:v>632.23394448799672</c:v>
                  </c:pt>
                  <c:pt idx="32">
                    <c:v>513.73430827278071</c:v>
                  </c:pt>
                  <c:pt idx="33">
                    <c:v>444.94363022280322</c:v>
                  </c:pt>
                  <c:pt idx="34">
                    <c:v>0</c:v>
                  </c:pt>
                  <c:pt idx="36">
                    <c:v>479.89076039711745</c:v>
                  </c:pt>
                  <c:pt idx="37">
                    <c:v>342.77911456936954</c:v>
                  </c:pt>
                  <c:pt idx="38">
                    <c:v>278.53200994492727</c:v>
                  </c:pt>
                  <c:pt idx="39">
                    <c:v>241.23567696854116</c:v>
                  </c:pt>
                  <c:pt idx="40">
                    <c:v>0</c:v>
                  </c:pt>
                  <c:pt idx="42">
                    <c:v>-1586.6591904042025</c:v>
                  </c:pt>
                  <c:pt idx="43">
                    <c:v>-1180.7610832574596</c:v>
                  </c:pt>
                  <c:pt idx="44">
                    <c:v>-1054.9090580269935</c:v>
                  </c:pt>
                  <c:pt idx="45">
                    <c:v>-1125.3609611401876</c:v>
                  </c:pt>
                  <c:pt idx="46">
                    <c:v>-799.45091214729246</c:v>
                  </c:pt>
                </c:numCache>
              </c:numRef>
            </c:plus>
            <c:minus>
              <c:numRef>
                <c:f>SUMMARY!$BO$97:$BO$143</c:f>
                <c:numCache>
                  <c:formatCode>General</c:formatCode>
                  <c:ptCount val="47"/>
                  <c:pt idx="0">
                    <c:v>0</c:v>
                  </c:pt>
                  <c:pt idx="1">
                    <c:v>0</c:v>
                  </c:pt>
                  <c:pt idx="2">
                    <c:v>0</c:v>
                  </c:pt>
                  <c:pt idx="3">
                    <c:v>0</c:v>
                  </c:pt>
                  <c:pt idx="4">
                    <c:v>0</c:v>
                  </c:pt>
                  <c:pt idx="6">
                    <c:v>0</c:v>
                  </c:pt>
                  <c:pt idx="7">
                    <c:v>0</c:v>
                  </c:pt>
                  <c:pt idx="8">
                    <c:v>-88.610807806617686</c:v>
                  </c:pt>
                  <c:pt idx="9">
                    <c:v>-303.91429037174385</c:v>
                  </c:pt>
                  <c:pt idx="10">
                    <c:v>-1230.7106025983403</c:v>
                  </c:pt>
                  <c:pt idx="12">
                    <c:v>497.74766738222752</c:v>
                  </c:pt>
                  <c:pt idx="13">
                    <c:v>468.63637648187114</c:v>
                  </c:pt>
                  <c:pt idx="14">
                    <c:v>354.73937625190001</c:v>
                  </c:pt>
                  <c:pt idx="15">
                    <c:v>282.0844035796631</c:v>
                  </c:pt>
                  <c:pt idx="16">
                    <c:v>67.449337982498946</c:v>
                  </c:pt>
                  <c:pt idx="18">
                    <c:v>1349.827306372114</c:v>
                  </c:pt>
                  <c:pt idx="19">
                    <c:v>1022.28239280753</c:v>
                  </c:pt>
                  <c:pt idx="20">
                    <c:v>980.66025202734772</c:v>
                  </c:pt>
                  <c:pt idx="21">
                    <c:v>1155.9529136736292</c:v>
                  </c:pt>
                  <c:pt idx="22">
                    <c:v>1215.8678102176668</c:v>
                  </c:pt>
                  <c:pt idx="24">
                    <c:v>335.57912294287598</c:v>
                  </c:pt>
                  <c:pt idx="25">
                    <c:v>239.69937353062596</c:v>
                  </c:pt>
                  <c:pt idx="26">
                    <c:v>194.7725093341819</c:v>
                  </c:pt>
                  <c:pt idx="27">
                    <c:v>168.69184318665293</c:v>
                  </c:pt>
                  <c:pt idx="28">
                    <c:v>0</c:v>
                  </c:pt>
                  <c:pt idx="30">
                    <c:v>558.09619562908847</c:v>
                  </c:pt>
                  <c:pt idx="31">
                    <c:v>398.64013973506326</c:v>
                  </c:pt>
                  <c:pt idx="32">
                    <c:v>323.92300068989061</c:v>
                  </c:pt>
                  <c:pt idx="33">
                    <c:v>280.54866789837752</c:v>
                  </c:pt>
                  <c:pt idx="34">
                    <c:v>0</c:v>
                  </c:pt>
                  <c:pt idx="36">
                    <c:v>0</c:v>
                  </c:pt>
                  <c:pt idx="37">
                    <c:v>0</c:v>
                  </c:pt>
                  <c:pt idx="38">
                    <c:v>0</c:v>
                  </c:pt>
                  <c:pt idx="39">
                    <c:v>0</c:v>
                  </c:pt>
                  <c:pt idx="40">
                    <c:v>0</c:v>
                  </c:pt>
                  <c:pt idx="42">
                    <c:v>-2285.9500403192815</c:v>
                  </c:pt>
                  <c:pt idx="43">
                    <c:v>-1701.9865142948206</c:v>
                  </c:pt>
                  <c:pt idx="44">
                    <c:v>-1520.5794093553363</c:v>
                  </c:pt>
                  <c:pt idx="45">
                    <c:v>-1622.1310193340996</c:v>
                  </c:pt>
                  <c:pt idx="46">
                    <c:v>-1182.489015255469</c:v>
                  </c:pt>
                </c:numCache>
              </c:numRef>
            </c:minus>
          </c:errBars>
          <c:cat>
            <c:multiLvlStrRef>
              <c:f>SUMMARY!$AY$97:$AZ$143</c:f>
              <c:multiLvlStrCache>
                <c:ptCount val="4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lvl>
                <c:lvl>
                  <c:pt idx="0">
                    <c:v>Vehicle Data
Cases</c:v>
                  </c:pt>
                  <c:pt idx="5">
                    <c:v> </c:v>
                  </c:pt>
                  <c:pt idx="6">
                    <c:v>Li-ion Battery
Life Cases</c:v>
                  </c:pt>
                  <c:pt idx="11">
                    <c:v> </c:v>
                  </c:pt>
                  <c:pt idx="12">
                    <c:v>Driving Location Cases</c:v>
                  </c:pt>
                  <c:pt idx="17">
                    <c:v> </c:v>
                  </c:pt>
                  <c:pt idx="18">
                    <c:v>GHG Value
Cases</c:v>
                  </c:pt>
                  <c:pt idx="23">
                    <c:v> </c:v>
                  </c:pt>
                  <c:pt idx="24">
                    <c:v>Oil Disruption
Cases</c:v>
                  </c:pt>
                  <c:pt idx="29">
                    <c:v> </c:v>
                  </c:pt>
                  <c:pt idx="30">
                    <c:v>Oil Monopsony
Cases</c:v>
                  </c:pt>
                  <c:pt idx="35">
                    <c:v> </c:v>
                  </c:pt>
                  <c:pt idx="36">
                    <c:v>Oil Military
Cases</c:v>
                  </c:pt>
                  <c:pt idx="41">
                    <c:v> </c:v>
                  </c:pt>
                  <c:pt idx="42">
                    <c:v>Discount 
Rate Cases</c:v>
                  </c:pt>
                </c:lvl>
              </c:multiLvlStrCache>
            </c:multiLvlStrRef>
          </c:cat>
          <c:val>
            <c:numRef>
              <c:f>SUMMARY!$BA$97:$BA$143</c:f>
              <c:numCache>
                <c:formatCode>"$"#,##0</c:formatCode>
                <c:ptCount val="47"/>
                <c:pt idx="0">
                  <c:v>4801.5346124455709</c:v>
                </c:pt>
                <c:pt idx="1">
                  <c:v>3910.2272578777161</c:v>
                </c:pt>
                <c:pt idx="2">
                  <c:v>3632.7889258841947</c:v>
                </c:pt>
                <c:pt idx="3">
                  <c:v>4145.8901532997616</c:v>
                </c:pt>
                <c:pt idx="4">
                  <c:v>4667.4752102121438</c:v>
                </c:pt>
                <c:pt idx="6">
                  <c:v>4801.5346124455709</c:v>
                </c:pt>
                <c:pt idx="7">
                  <c:v>3910.2272578777161</c:v>
                </c:pt>
                <c:pt idx="8">
                  <c:v>3632.7889258841947</c:v>
                </c:pt>
                <c:pt idx="9">
                  <c:v>4145.8901532997616</c:v>
                </c:pt>
                <c:pt idx="10">
                  <c:v>4667.4752102121438</c:v>
                </c:pt>
                <c:pt idx="12">
                  <c:v>4801.5346124455709</c:v>
                </c:pt>
                <c:pt idx="13">
                  <c:v>3910.2272578777161</c:v>
                </c:pt>
                <c:pt idx="14">
                  <c:v>3632.7889258841947</c:v>
                </c:pt>
                <c:pt idx="15">
                  <c:v>4145.8901532997616</c:v>
                </c:pt>
                <c:pt idx="16">
                  <c:v>4667.4752102121438</c:v>
                </c:pt>
                <c:pt idx="18">
                  <c:v>4801.5346124455709</c:v>
                </c:pt>
                <c:pt idx="19">
                  <c:v>3910.2272578777161</c:v>
                </c:pt>
                <c:pt idx="20">
                  <c:v>3632.7889258841947</c:v>
                </c:pt>
                <c:pt idx="21">
                  <c:v>4145.8901532997616</c:v>
                </c:pt>
                <c:pt idx="22">
                  <c:v>4667.4752102121438</c:v>
                </c:pt>
                <c:pt idx="24">
                  <c:v>4801.5346124455709</c:v>
                </c:pt>
                <c:pt idx="25">
                  <c:v>3910.2272578777161</c:v>
                </c:pt>
                <c:pt idx="26">
                  <c:v>3632.7889258841947</c:v>
                </c:pt>
                <c:pt idx="27">
                  <c:v>4145.8901532997616</c:v>
                </c:pt>
                <c:pt idx="28">
                  <c:v>4667.4752102121438</c:v>
                </c:pt>
                <c:pt idx="30">
                  <c:v>4801.5346124455709</c:v>
                </c:pt>
                <c:pt idx="31">
                  <c:v>3910.2272578777161</c:v>
                </c:pt>
                <c:pt idx="32">
                  <c:v>3632.7889258841947</c:v>
                </c:pt>
                <c:pt idx="33">
                  <c:v>4145.8901532997616</c:v>
                </c:pt>
                <c:pt idx="34">
                  <c:v>4667.4752102121438</c:v>
                </c:pt>
                <c:pt idx="36">
                  <c:v>4801.5346124455709</c:v>
                </c:pt>
                <c:pt idx="37">
                  <c:v>3910.2272578777161</c:v>
                </c:pt>
                <c:pt idx="38">
                  <c:v>3632.7889258841947</c:v>
                </c:pt>
                <c:pt idx="39">
                  <c:v>4145.8901532997616</c:v>
                </c:pt>
                <c:pt idx="40">
                  <c:v>4667.4752102121438</c:v>
                </c:pt>
                <c:pt idx="42">
                  <c:v>4801.5346124455709</c:v>
                </c:pt>
                <c:pt idx="43">
                  <c:v>3910.2272578777161</c:v>
                </c:pt>
                <c:pt idx="44">
                  <c:v>3632.7889258841947</c:v>
                </c:pt>
                <c:pt idx="45">
                  <c:v>4145.8901532997616</c:v>
                </c:pt>
                <c:pt idx="46">
                  <c:v>4667.4752102121438</c:v>
                </c:pt>
              </c:numCache>
            </c:numRef>
          </c:val>
        </c:ser>
        <c:ser>
          <c:idx val="3"/>
          <c:order val="3"/>
          <c:tx>
            <c:strRef>
              <c:f>SUMMARY!$BD$42</c:f>
              <c:strCache>
                <c:ptCount val="1"/>
                <c:pt idx="0">
                  <c:v>GHGs</c:v>
                </c:pt>
              </c:strCache>
            </c:strRef>
          </c:tx>
          <c:spPr>
            <a:solidFill>
              <a:srgbClr val="336600"/>
            </a:solidFill>
          </c:spPr>
          <c:cat>
            <c:multiLvlStrRef>
              <c:f>SUMMARY!$AY$97:$AZ$143</c:f>
              <c:multiLvlStrCache>
                <c:ptCount val="4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lvl>
                <c:lvl>
                  <c:pt idx="0">
                    <c:v>Vehicle Data
Cases</c:v>
                  </c:pt>
                  <c:pt idx="5">
                    <c:v> </c:v>
                  </c:pt>
                  <c:pt idx="6">
                    <c:v>Li-ion Battery
Life Cases</c:v>
                  </c:pt>
                  <c:pt idx="11">
                    <c:v> </c:v>
                  </c:pt>
                  <c:pt idx="12">
                    <c:v>Driving Location Cases</c:v>
                  </c:pt>
                  <c:pt idx="17">
                    <c:v> </c:v>
                  </c:pt>
                  <c:pt idx="18">
                    <c:v>GHG Value
Cases</c:v>
                  </c:pt>
                  <c:pt idx="23">
                    <c:v> </c:v>
                  </c:pt>
                  <c:pt idx="24">
                    <c:v>Oil Disruption
Cases</c:v>
                  </c:pt>
                  <c:pt idx="29">
                    <c:v> </c:v>
                  </c:pt>
                  <c:pt idx="30">
                    <c:v>Oil Monopsony
Cases</c:v>
                  </c:pt>
                  <c:pt idx="35">
                    <c:v> </c:v>
                  </c:pt>
                  <c:pt idx="36">
                    <c:v>Oil Military
Cases</c:v>
                  </c:pt>
                  <c:pt idx="41">
                    <c:v> </c:v>
                  </c:pt>
                  <c:pt idx="42">
                    <c:v>Discount 
Rate Cases</c:v>
                  </c:pt>
                </c:lvl>
              </c:multiLvlStrCache>
            </c:multiLvlStrRef>
          </c:cat>
          <c:val>
            <c:numRef>
              <c:f>SUMMARY!$BD$97:$BD$143</c:f>
              <c:numCache>
                <c:formatCode>General</c:formatCode>
                <c:ptCount val="47"/>
              </c:numCache>
            </c:numRef>
          </c:val>
        </c:ser>
        <c:ser>
          <c:idx val="4"/>
          <c:order val="4"/>
          <c:tx>
            <c:strRef>
              <c:f>SUMMARY!$BE$42</c:f>
              <c:strCache>
                <c:ptCount val="1"/>
                <c:pt idx="0">
                  <c:v>CO</c:v>
                </c:pt>
              </c:strCache>
            </c:strRef>
          </c:tx>
          <c:spPr>
            <a:solidFill>
              <a:srgbClr val="C00000"/>
            </a:solidFill>
          </c:spPr>
          <c:cat>
            <c:multiLvlStrRef>
              <c:f>SUMMARY!$AY$97:$AZ$143</c:f>
              <c:multiLvlStrCache>
                <c:ptCount val="4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lvl>
                <c:lvl>
                  <c:pt idx="0">
                    <c:v>Vehicle Data
Cases</c:v>
                  </c:pt>
                  <c:pt idx="5">
                    <c:v> </c:v>
                  </c:pt>
                  <c:pt idx="6">
                    <c:v>Li-ion Battery
Life Cases</c:v>
                  </c:pt>
                  <c:pt idx="11">
                    <c:v> </c:v>
                  </c:pt>
                  <c:pt idx="12">
                    <c:v>Driving Location Cases</c:v>
                  </c:pt>
                  <c:pt idx="17">
                    <c:v> </c:v>
                  </c:pt>
                  <c:pt idx="18">
                    <c:v>GHG Value
Cases</c:v>
                  </c:pt>
                  <c:pt idx="23">
                    <c:v> </c:v>
                  </c:pt>
                  <c:pt idx="24">
                    <c:v>Oil Disruption
Cases</c:v>
                  </c:pt>
                  <c:pt idx="29">
                    <c:v> </c:v>
                  </c:pt>
                  <c:pt idx="30">
                    <c:v>Oil Monopsony
Cases</c:v>
                  </c:pt>
                  <c:pt idx="35">
                    <c:v> </c:v>
                  </c:pt>
                  <c:pt idx="36">
                    <c:v>Oil Military
Cases</c:v>
                  </c:pt>
                  <c:pt idx="41">
                    <c:v> </c:v>
                  </c:pt>
                  <c:pt idx="42">
                    <c:v>Discount 
Rate Cases</c:v>
                  </c:pt>
                </c:lvl>
              </c:multiLvlStrCache>
            </c:multiLvlStrRef>
          </c:cat>
          <c:val>
            <c:numRef>
              <c:f>SUMMARY!$BE$97:$BE$143</c:f>
              <c:numCache>
                <c:formatCode>General</c:formatCode>
                <c:ptCount val="47"/>
              </c:numCache>
            </c:numRef>
          </c:val>
        </c:ser>
        <c:ser>
          <c:idx val="5"/>
          <c:order val="5"/>
          <c:tx>
            <c:strRef>
              <c:f>SUMMARY!$BF$42</c:f>
              <c:strCache>
                <c:ptCount val="1"/>
                <c:pt idx="0">
                  <c:v>NH3</c:v>
                </c:pt>
              </c:strCache>
            </c:strRef>
          </c:tx>
          <c:spPr>
            <a:solidFill>
              <a:schemeClr val="accent1"/>
            </a:solidFill>
          </c:spPr>
          <c:cat>
            <c:multiLvlStrRef>
              <c:f>SUMMARY!$AY$97:$AZ$143</c:f>
              <c:multiLvlStrCache>
                <c:ptCount val="4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lvl>
                <c:lvl>
                  <c:pt idx="0">
                    <c:v>Vehicle Data
Cases</c:v>
                  </c:pt>
                  <c:pt idx="5">
                    <c:v> </c:v>
                  </c:pt>
                  <c:pt idx="6">
                    <c:v>Li-ion Battery
Life Cases</c:v>
                  </c:pt>
                  <c:pt idx="11">
                    <c:v> </c:v>
                  </c:pt>
                  <c:pt idx="12">
                    <c:v>Driving Location Cases</c:v>
                  </c:pt>
                  <c:pt idx="17">
                    <c:v> </c:v>
                  </c:pt>
                  <c:pt idx="18">
                    <c:v>GHG Value
Cases</c:v>
                  </c:pt>
                  <c:pt idx="23">
                    <c:v> </c:v>
                  </c:pt>
                  <c:pt idx="24">
                    <c:v>Oil Disruption
Cases</c:v>
                  </c:pt>
                  <c:pt idx="29">
                    <c:v> </c:v>
                  </c:pt>
                  <c:pt idx="30">
                    <c:v>Oil Monopsony
Cases</c:v>
                  </c:pt>
                  <c:pt idx="35">
                    <c:v> </c:v>
                  </c:pt>
                  <c:pt idx="36">
                    <c:v>Oil Military
Cases</c:v>
                  </c:pt>
                  <c:pt idx="41">
                    <c:v> </c:v>
                  </c:pt>
                  <c:pt idx="42">
                    <c:v>Discount 
Rate Cases</c:v>
                  </c:pt>
                </c:lvl>
              </c:multiLvlStrCache>
            </c:multiLvlStrRef>
          </c:cat>
          <c:val>
            <c:numRef>
              <c:f>SUMMARY!$BF$97:$BF$143</c:f>
              <c:numCache>
                <c:formatCode>General</c:formatCode>
                <c:ptCount val="47"/>
              </c:numCache>
            </c:numRef>
          </c:val>
        </c:ser>
        <c:ser>
          <c:idx val="6"/>
          <c:order val="6"/>
          <c:tx>
            <c:strRef>
              <c:f>SUMMARY!$BG$42</c:f>
              <c:strCache>
                <c:ptCount val="1"/>
                <c:pt idx="0">
                  <c:v>NOx</c:v>
                </c:pt>
              </c:strCache>
            </c:strRef>
          </c:tx>
          <c:spPr>
            <a:solidFill>
              <a:schemeClr val="accent6"/>
            </a:solidFill>
          </c:spPr>
          <c:cat>
            <c:multiLvlStrRef>
              <c:f>SUMMARY!$AY$97:$AZ$143</c:f>
              <c:multiLvlStrCache>
                <c:ptCount val="4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lvl>
                <c:lvl>
                  <c:pt idx="0">
                    <c:v>Vehicle Data
Cases</c:v>
                  </c:pt>
                  <c:pt idx="5">
                    <c:v> </c:v>
                  </c:pt>
                  <c:pt idx="6">
                    <c:v>Li-ion Battery
Life Cases</c:v>
                  </c:pt>
                  <c:pt idx="11">
                    <c:v> </c:v>
                  </c:pt>
                  <c:pt idx="12">
                    <c:v>Driving Location Cases</c:v>
                  </c:pt>
                  <c:pt idx="17">
                    <c:v> </c:v>
                  </c:pt>
                  <c:pt idx="18">
                    <c:v>GHG Value
Cases</c:v>
                  </c:pt>
                  <c:pt idx="23">
                    <c:v> </c:v>
                  </c:pt>
                  <c:pt idx="24">
                    <c:v>Oil Disruption
Cases</c:v>
                  </c:pt>
                  <c:pt idx="29">
                    <c:v> </c:v>
                  </c:pt>
                  <c:pt idx="30">
                    <c:v>Oil Monopsony
Cases</c:v>
                  </c:pt>
                  <c:pt idx="35">
                    <c:v> </c:v>
                  </c:pt>
                  <c:pt idx="36">
                    <c:v>Oil Military
Cases</c:v>
                  </c:pt>
                  <c:pt idx="41">
                    <c:v> </c:v>
                  </c:pt>
                  <c:pt idx="42">
                    <c:v>Discount 
Rate Cases</c:v>
                  </c:pt>
                </c:lvl>
              </c:multiLvlStrCache>
            </c:multiLvlStrRef>
          </c:cat>
          <c:val>
            <c:numRef>
              <c:f>SUMMARY!$BG$97:$BG$143</c:f>
              <c:numCache>
                <c:formatCode>General</c:formatCode>
                <c:ptCount val="47"/>
              </c:numCache>
            </c:numRef>
          </c:val>
        </c:ser>
        <c:ser>
          <c:idx val="7"/>
          <c:order val="7"/>
          <c:tx>
            <c:strRef>
              <c:f>SUMMARY!$BH$42</c:f>
              <c:strCache>
                <c:ptCount val="1"/>
                <c:pt idx="0">
                  <c:v>PM10</c:v>
                </c:pt>
              </c:strCache>
            </c:strRef>
          </c:tx>
          <c:spPr>
            <a:solidFill>
              <a:schemeClr val="accent4">
                <a:lumMod val="40000"/>
                <a:lumOff val="60000"/>
              </a:schemeClr>
            </a:solidFill>
          </c:spPr>
          <c:cat>
            <c:multiLvlStrRef>
              <c:f>SUMMARY!$AY$97:$AZ$143</c:f>
              <c:multiLvlStrCache>
                <c:ptCount val="4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lvl>
                <c:lvl>
                  <c:pt idx="0">
                    <c:v>Vehicle Data
Cases</c:v>
                  </c:pt>
                  <c:pt idx="5">
                    <c:v> </c:v>
                  </c:pt>
                  <c:pt idx="6">
                    <c:v>Li-ion Battery
Life Cases</c:v>
                  </c:pt>
                  <c:pt idx="11">
                    <c:v> </c:v>
                  </c:pt>
                  <c:pt idx="12">
                    <c:v>Driving Location Cases</c:v>
                  </c:pt>
                  <c:pt idx="17">
                    <c:v> </c:v>
                  </c:pt>
                  <c:pt idx="18">
                    <c:v>GHG Value
Cases</c:v>
                  </c:pt>
                  <c:pt idx="23">
                    <c:v> </c:v>
                  </c:pt>
                  <c:pt idx="24">
                    <c:v>Oil Disruption
Cases</c:v>
                  </c:pt>
                  <c:pt idx="29">
                    <c:v> </c:v>
                  </c:pt>
                  <c:pt idx="30">
                    <c:v>Oil Monopsony
Cases</c:v>
                  </c:pt>
                  <c:pt idx="35">
                    <c:v> </c:v>
                  </c:pt>
                  <c:pt idx="36">
                    <c:v>Oil Military
Cases</c:v>
                  </c:pt>
                  <c:pt idx="41">
                    <c:v> </c:v>
                  </c:pt>
                  <c:pt idx="42">
                    <c:v>Discount 
Rate Cases</c:v>
                  </c:pt>
                </c:lvl>
              </c:multiLvlStrCache>
            </c:multiLvlStrRef>
          </c:cat>
          <c:val>
            <c:numRef>
              <c:f>SUMMARY!$BH$97:$BH$143</c:f>
              <c:numCache>
                <c:formatCode>General</c:formatCode>
                <c:ptCount val="47"/>
              </c:numCache>
            </c:numRef>
          </c:val>
        </c:ser>
        <c:ser>
          <c:idx val="8"/>
          <c:order val="8"/>
          <c:tx>
            <c:strRef>
              <c:f>SUMMARY!$BI$42</c:f>
              <c:strCache>
                <c:ptCount val="1"/>
                <c:pt idx="0">
                  <c:v>PM2.5</c:v>
                </c:pt>
              </c:strCache>
            </c:strRef>
          </c:tx>
          <c:spPr>
            <a:solidFill>
              <a:schemeClr val="accent4">
                <a:lumMod val="75000"/>
              </a:schemeClr>
            </a:solidFill>
          </c:spPr>
          <c:cat>
            <c:multiLvlStrRef>
              <c:f>SUMMARY!$AY$97:$AZ$143</c:f>
              <c:multiLvlStrCache>
                <c:ptCount val="4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lvl>
                <c:lvl>
                  <c:pt idx="0">
                    <c:v>Vehicle Data
Cases</c:v>
                  </c:pt>
                  <c:pt idx="5">
                    <c:v> </c:v>
                  </c:pt>
                  <c:pt idx="6">
                    <c:v>Li-ion Battery
Life Cases</c:v>
                  </c:pt>
                  <c:pt idx="11">
                    <c:v> </c:v>
                  </c:pt>
                  <c:pt idx="12">
                    <c:v>Driving Location Cases</c:v>
                  </c:pt>
                  <c:pt idx="17">
                    <c:v> </c:v>
                  </c:pt>
                  <c:pt idx="18">
                    <c:v>GHG Value
Cases</c:v>
                  </c:pt>
                  <c:pt idx="23">
                    <c:v> </c:v>
                  </c:pt>
                  <c:pt idx="24">
                    <c:v>Oil Disruption
Cases</c:v>
                  </c:pt>
                  <c:pt idx="29">
                    <c:v> </c:v>
                  </c:pt>
                  <c:pt idx="30">
                    <c:v>Oil Monopsony
Cases</c:v>
                  </c:pt>
                  <c:pt idx="35">
                    <c:v> </c:v>
                  </c:pt>
                  <c:pt idx="36">
                    <c:v>Oil Military
Cases</c:v>
                  </c:pt>
                  <c:pt idx="41">
                    <c:v> </c:v>
                  </c:pt>
                  <c:pt idx="42">
                    <c:v>Discount 
Rate Cases</c:v>
                  </c:pt>
                </c:lvl>
              </c:multiLvlStrCache>
            </c:multiLvlStrRef>
          </c:cat>
          <c:val>
            <c:numRef>
              <c:f>SUMMARY!$BI$97:$BI$143</c:f>
              <c:numCache>
                <c:formatCode>General</c:formatCode>
                <c:ptCount val="47"/>
              </c:numCache>
            </c:numRef>
          </c:val>
        </c:ser>
        <c:ser>
          <c:idx val="9"/>
          <c:order val="9"/>
          <c:tx>
            <c:strRef>
              <c:f>SUMMARY!$BJ$42</c:f>
              <c:strCache>
                <c:ptCount val="1"/>
                <c:pt idx="0">
                  <c:v>SO2</c:v>
                </c:pt>
              </c:strCache>
            </c:strRef>
          </c:tx>
          <c:spPr>
            <a:solidFill>
              <a:srgbClr val="CCCC00"/>
            </a:solidFill>
          </c:spPr>
          <c:cat>
            <c:multiLvlStrRef>
              <c:f>SUMMARY!$AY$97:$AZ$143</c:f>
              <c:multiLvlStrCache>
                <c:ptCount val="4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lvl>
                <c:lvl>
                  <c:pt idx="0">
                    <c:v>Vehicle Data
Cases</c:v>
                  </c:pt>
                  <c:pt idx="5">
                    <c:v> </c:v>
                  </c:pt>
                  <c:pt idx="6">
                    <c:v>Li-ion Battery
Life Cases</c:v>
                  </c:pt>
                  <c:pt idx="11">
                    <c:v> </c:v>
                  </c:pt>
                  <c:pt idx="12">
                    <c:v>Driving Location Cases</c:v>
                  </c:pt>
                  <c:pt idx="17">
                    <c:v> </c:v>
                  </c:pt>
                  <c:pt idx="18">
                    <c:v>GHG Value
Cases</c:v>
                  </c:pt>
                  <c:pt idx="23">
                    <c:v> </c:v>
                  </c:pt>
                  <c:pt idx="24">
                    <c:v>Oil Disruption
Cases</c:v>
                  </c:pt>
                  <c:pt idx="29">
                    <c:v> </c:v>
                  </c:pt>
                  <c:pt idx="30">
                    <c:v>Oil Monopsony
Cases</c:v>
                  </c:pt>
                  <c:pt idx="35">
                    <c:v> </c:v>
                  </c:pt>
                  <c:pt idx="36">
                    <c:v>Oil Military
Cases</c:v>
                  </c:pt>
                  <c:pt idx="41">
                    <c:v> </c:v>
                  </c:pt>
                  <c:pt idx="42">
                    <c:v>Discount 
Rate Cases</c:v>
                  </c:pt>
                </c:lvl>
              </c:multiLvlStrCache>
            </c:multiLvlStrRef>
          </c:cat>
          <c:val>
            <c:numRef>
              <c:f>SUMMARY!$BJ$97:$BJ$143</c:f>
              <c:numCache>
                <c:formatCode>General</c:formatCode>
                <c:ptCount val="47"/>
              </c:numCache>
            </c:numRef>
          </c:val>
        </c:ser>
        <c:ser>
          <c:idx val="10"/>
          <c:order val="10"/>
          <c:tx>
            <c:strRef>
              <c:f>SUMMARY!$BK$42</c:f>
              <c:strCache>
                <c:ptCount val="1"/>
                <c:pt idx="0">
                  <c:v>VOC</c:v>
                </c:pt>
              </c:strCache>
            </c:strRef>
          </c:tx>
          <c:spPr>
            <a:solidFill>
              <a:schemeClr val="accent5">
                <a:lumMod val="40000"/>
                <a:lumOff val="60000"/>
              </a:schemeClr>
            </a:solidFill>
          </c:spPr>
          <c:cat>
            <c:multiLvlStrRef>
              <c:f>SUMMARY!$AY$97:$AZ$143</c:f>
              <c:multiLvlStrCache>
                <c:ptCount val="4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lvl>
                <c:lvl>
                  <c:pt idx="0">
                    <c:v>Vehicle Data
Cases</c:v>
                  </c:pt>
                  <c:pt idx="5">
                    <c:v> </c:v>
                  </c:pt>
                  <c:pt idx="6">
                    <c:v>Li-ion Battery
Life Cases</c:v>
                  </c:pt>
                  <c:pt idx="11">
                    <c:v> </c:v>
                  </c:pt>
                  <c:pt idx="12">
                    <c:v>Driving Location Cases</c:v>
                  </c:pt>
                  <c:pt idx="17">
                    <c:v> </c:v>
                  </c:pt>
                  <c:pt idx="18">
                    <c:v>GHG Value
Cases</c:v>
                  </c:pt>
                  <c:pt idx="23">
                    <c:v> </c:v>
                  </c:pt>
                  <c:pt idx="24">
                    <c:v>Oil Disruption
Cases</c:v>
                  </c:pt>
                  <c:pt idx="29">
                    <c:v> </c:v>
                  </c:pt>
                  <c:pt idx="30">
                    <c:v>Oil Monopsony
Cases</c:v>
                  </c:pt>
                  <c:pt idx="35">
                    <c:v> </c:v>
                  </c:pt>
                  <c:pt idx="36">
                    <c:v>Oil Military
Cases</c:v>
                  </c:pt>
                  <c:pt idx="41">
                    <c:v> </c:v>
                  </c:pt>
                  <c:pt idx="42">
                    <c:v>Discount 
Rate Cases</c:v>
                  </c:pt>
                </c:lvl>
              </c:multiLvlStrCache>
            </c:multiLvlStrRef>
          </c:cat>
          <c:val>
            <c:numRef>
              <c:f>SUMMARY!$BK$97:$BK$143</c:f>
              <c:numCache>
                <c:formatCode>General</c:formatCode>
                <c:ptCount val="47"/>
              </c:numCache>
            </c:numRef>
          </c:val>
        </c:ser>
        <c:ser>
          <c:idx val="11"/>
          <c:order val="11"/>
          <c:tx>
            <c:strRef>
              <c:f>SUMMARY!$BL$42</c:f>
              <c:strCache>
                <c:ptCount val="1"/>
                <c:pt idx="0">
                  <c:v>Disruption</c:v>
                </c:pt>
              </c:strCache>
            </c:strRef>
          </c:tx>
          <c:spPr>
            <a:solidFill>
              <a:schemeClr val="tx1">
                <a:lumMod val="75000"/>
                <a:lumOff val="25000"/>
              </a:schemeClr>
            </a:solidFill>
          </c:spPr>
          <c:cat>
            <c:multiLvlStrRef>
              <c:f>SUMMARY!$AY$97:$AZ$143</c:f>
              <c:multiLvlStrCache>
                <c:ptCount val="4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lvl>
                <c:lvl>
                  <c:pt idx="0">
                    <c:v>Vehicle Data
Cases</c:v>
                  </c:pt>
                  <c:pt idx="5">
                    <c:v> </c:v>
                  </c:pt>
                  <c:pt idx="6">
                    <c:v>Li-ion Battery
Life Cases</c:v>
                  </c:pt>
                  <c:pt idx="11">
                    <c:v> </c:v>
                  </c:pt>
                  <c:pt idx="12">
                    <c:v>Driving Location Cases</c:v>
                  </c:pt>
                  <c:pt idx="17">
                    <c:v> </c:v>
                  </c:pt>
                  <c:pt idx="18">
                    <c:v>GHG Value
Cases</c:v>
                  </c:pt>
                  <c:pt idx="23">
                    <c:v> </c:v>
                  </c:pt>
                  <c:pt idx="24">
                    <c:v>Oil Disruption
Cases</c:v>
                  </c:pt>
                  <c:pt idx="29">
                    <c:v> </c:v>
                  </c:pt>
                  <c:pt idx="30">
                    <c:v>Oil Monopsony
Cases</c:v>
                  </c:pt>
                  <c:pt idx="35">
                    <c:v> </c:v>
                  </c:pt>
                  <c:pt idx="36">
                    <c:v>Oil Military
Cases</c:v>
                  </c:pt>
                  <c:pt idx="41">
                    <c:v> </c:v>
                  </c:pt>
                  <c:pt idx="42">
                    <c:v>Discount 
Rate Cases</c:v>
                  </c:pt>
                </c:lvl>
              </c:multiLvlStrCache>
            </c:multiLvlStrRef>
          </c:cat>
          <c:val>
            <c:numRef>
              <c:f>SUMMARY!$BL$97:$BL$143</c:f>
              <c:numCache>
                <c:formatCode>General</c:formatCode>
                <c:ptCount val="47"/>
              </c:numCache>
            </c:numRef>
          </c:val>
        </c:ser>
        <c:ser>
          <c:idx val="12"/>
          <c:order val="12"/>
          <c:tx>
            <c:strRef>
              <c:f>SUMMARY!$BM$42</c:f>
              <c:strCache>
                <c:ptCount val="1"/>
                <c:pt idx="0">
                  <c:v>Monopsony</c:v>
                </c:pt>
              </c:strCache>
            </c:strRef>
          </c:tx>
          <c:spPr>
            <a:solidFill>
              <a:schemeClr val="tx1">
                <a:lumMod val="50000"/>
                <a:lumOff val="50000"/>
              </a:schemeClr>
            </a:solidFill>
          </c:spPr>
          <c:cat>
            <c:multiLvlStrRef>
              <c:f>SUMMARY!$AY$97:$AZ$143</c:f>
              <c:multiLvlStrCache>
                <c:ptCount val="4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lvl>
                <c:lvl>
                  <c:pt idx="0">
                    <c:v>Vehicle Data
Cases</c:v>
                  </c:pt>
                  <c:pt idx="5">
                    <c:v> </c:v>
                  </c:pt>
                  <c:pt idx="6">
                    <c:v>Li-ion Battery
Life Cases</c:v>
                  </c:pt>
                  <c:pt idx="11">
                    <c:v> </c:v>
                  </c:pt>
                  <c:pt idx="12">
                    <c:v>Driving Location Cases</c:v>
                  </c:pt>
                  <c:pt idx="17">
                    <c:v> </c:v>
                  </c:pt>
                  <c:pt idx="18">
                    <c:v>GHG Value
Cases</c:v>
                  </c:pt>
                  <c:pt idx="23">
                    <c:v> </c:v>
                  </c:pt>
                  <c:pt idx="24">
                    <c:v>Oil Disruption
Cases</c:v>
                  </c:pt>
                  <c:pt idx="29">
                    <c:v> </c:v>
                  </c:pt>
                  <c:pt idx="30">
                    <c:v>Oil Monopsony
Cases</c:v>
                  </c:pt>
                  <c:pt idx="35">
                    <c:v> </c:v>
                  </c:pt>
                  <c:pt idx="36">
                    <c:v>Oil Military
Cases</c:v>
                  </c:pt>
                  <c:pt idx="41">
                    <c:v> </c:v>
                  </c:pt>
                  <c:pt idx="42">
                    <c:v>Discount 
Rate Cases</c:v>
                  </c:pt>
                </c:lvl>
              </c:multiLvlStrCache>
            </c:multiLvlStrRef>
          </c:cat>
          <c:val>
            <c:numRef>
              <c:f>SUMMARY!$BM$97:$BM$143</c:f>
              <c:numCache>
                <c:formatCode>General</c:formatCode>
                <c:ptCount val="47"/>
              </c:numCache>
            </c:numRef>
          </c:val>
        </c:ser>
        <c:ser>
          <c:idx val="13"/>
          <c:order val="13"/>
          <c:tx>
            <c:strRef>
              <c:f>SUMMARY!$BN$42</c:f>
              <c:strCache>
                <c:ptCount val="1"/>
                <c:pt idx="0">
                  <c:v>Military</c:v>
                </c:pt>
              </c:strCache>
            </c:strRef>
          </c:tx>
          <c:spPr>
            <a:solidFill>
              <a:schemeClr val="bg1">
                <a:lumMod val="75000"/>
              </a:schemeClr>
            </a:solidFill>
          </c:spPr>
          <c:errBars>
            <c:errBarType val="both"/>
            <c:errValType val="cust"/>
            <c:plus>
              <c:numRef>
                <c:f>SUMMARY!$BP$97:$BP$143</c:f>
                <c:numCache>
                  <c:formatCode>General</c:formatCode>
                  <c:ptCount val="47"/>
                  <c:pt idx="0">
                    <c:v>-519.69133761941521</c:v>
                  </c:pt>
                  <c:pt idx="1">
                    <c:v>-370.99998710190357</c:v>
                  </c:pt>
                  <c:pt idx="2">
                    <c:v>-388.14286043364746</c:v>
                  </c:pt>
                  <c:pt idx="3">
                    <c:v>-414.3830436557173</c:v>
                  </c:pt>
                  <c:pt idx="4">
                    <c:v>-370.35506713435188</c:v>
                  </c:pt>
                  <c:pt idx="6">
                    <c:v>0</c:v>
                  </c:pt>
                  <c:pt idx="7">
                    <c:v>0</c:v>
                  </c:pt>
                  <c:pt idx="8">
                    <c:v>0</c:v>
                  </c:pt>
                  <c:pt idx="9">
                    <c:v>0</c:v>
                  </c:pt>
                  <c:pt idx="10">
                    <c:v>0</c:v>
                  </c:pt>
                  <c:pt idx="12">
                    <c:v>1896.0850000554365</c:v>
                  </c:pt>
                  <c:pt idx="13">
                    <c:v>1771.7685498262358</c:v>
                  </c:pt>
                  <c:pt idx="14">
                    <c:v>1346.8543625056686</c:v>
                  </c:pt>
                  <c:pt idx="15">
                    <c:v>1075.8013180401722</c:v>
                  </c:pt>
                  <c:pt idx="16">
                    <c:v>275.06482555512957</c:v>
                  </c:pt>
                  <c:pt idx="18">
                    <c:v>4724.3955723024001</c:v>
                  </c:pt>
                  <c:pt idx="19">
                    <c:v>3577.988374826356</c:v>
                  </c:pt>
                  <c:pt idx="20">
                    <c:v>3432.3108820957164</c:v>
                  </c:pt>
                  <c:pt idx="21">
                    <c:v>4045.8351978577039</c:v>
                  </c:pt>
                  <c:pt idx="22">
                    <c:v>4255.5373357618355</c:v>
                  </c:pt>
                  <c:pt idx="24">
                    <c:v>711.98495521188306</c:v>
                  </c:pt>
                  <c:pt idx="25">
                    <c:v>508.56068229420225</c:v>
                  </c:pt>
                  <c:pt idx="26">
                    <c:v>413.24113108910387</c:v>
                  </c:pt>
                  <c:pt idx="27">
                    <c:v>357.90681304183636</c:v>
                  </c:pt>
                  <c:pt idx="28">
                    <c:v>0</c:v>
                  </c:pt>
                  <c:pt idx="30">
                    <c:v>885.1275222831955</c:v>
                  </c:pt>
                  <c:pt idx="31">
                    <c:v>632.23394448799672</c:v>
                  </c:pt>
                  <c:pt idx="32">
                    <c:v>513.73430827278071</c:v>
                  </c:pt>
                  <c:pt idx="33">
                    <c:v>444.94363022280322</c:v>
                  </c:pt>
                  <c:pt idx="34">
                    <c:v>0</c:v>
                  </c:pt>
                  <c:pt idx="36">
                    <c:v>479.89076039711745</c:v>
                  </c:pt>
                  <c:pt idx="37">
                    <c:v>342.77911456936954</c:v>
                  </c:pt>
                  <c:pt idx="38">
                    <c:v>278.53200994492727</c:v>
                  </c:pt>
                  <c:pt idx="39">
                    <c:v>241.23567696854116</c:v>
                  </c:pt>
                  <c:pt idx="40">
                    <c:v>0</c:v>
                  </c:pt>
                  <c:pt idx="42">
                    <c:v>-1586.6591904042025</c:v>
                  </c:pt>
                  <c:pt idx="43">
                    <c:v>-1180.7610832574596</c:v>
                  </c:pt>
                  <c:pt idx="44">
                    <c:v>-1054.9090580269935</c:v>
                  </c:pt>
                  <c:pt idx="45">
                    <c:v>-1125.3609611401876</c:v>
                  </c:pt>
                  <c:pt idx="46">
                    <c:v>-799.45091214729246</c:v>
                  </c:pt>
                </c:numCache>
              </c:numRef>
            </c:plus>
            <c:minus>
              <c:numRef>
                <c:f>SUMMARY!$BO$97:$BO$143</c:f>
                <c:numCache>
                  <c:formatCode>General</c:formatCode>
                  <c:ptCount val="47"/>
                  <c:pt idx="0">
                    <c:v>0</c:v>
                  </c:pt>
                  <c:pt idx="1">
                    <c:v>0</c:v>
                  </c:pt>
                  <c:pt idx="2">
                    <c:v>0</c:v>
                  </c:pt>
                  <c:pt idx="3">
                    <c:v>0</c:v>
                  </c:pt>
                  <c:pt idx="4">
                    <c:v>0</c:v>
                  </c:pt>
                  <c:pt idx="6">
                    <c:v>0</c:v>
                  </c:pt>
                  <c:pt idx="7">
                    <c:v>0</c:v>
                  </c:pt>
                  <c:pt idx="8">
                    <c:v>-88.610807806617686</c:v>
                  </c:pt>
                  <c:pt idx="9">
                    <c:v>-303.91429037174385</c:v>
                  </c:pt>
                  <c:pt idx="10">
                    <c:v>-1230.7106025983403</c:v>
                  </c:pt>
                  <c:pt idx="12">
                    <c:v>497.74766738222752</c:v>
                  </c:pt>
                  <c:pt idx="13">
                    <c:v>468.63637648187114</c:v>
                  </c:pt>
                  <c:pt idx="14">
                    <c:v>354.73937625190001</c:v>
                  </c:pt>
                  <c:pt idx="15">
                    <c:v>282.0844035796631</c:v>
                  </c:pt>
                  <c:pt idx="16">
                    <c:v>67.449337982498946</c:v>
                  </c:pt>
                  <c:pt idx="18">
                    <c:v>1349.827306372114</c:v>
                  </c:pt>
                  <c:pt idx="19">
                    <c:v>1022.28239280753</c:v>
                  </c:pt>
                  <c:pt idx="20">
                    <c:v>980.66025202734772</c:v>
                  </c:pt>
                  <c:pt idx="21">
                    <c:v>1155.9529136736292</c:v>
                  </c:pt>
                  <c:pt idx="22">
                    <c:v>1215.8678102176668</c:v>
                  </c:pt>
                  <c:pt idx="24">
                    <c:v>335.57912294287598</c:v>
                  </c:pt>
                  <c:pt idx="25">
                    <c:v>239.69937353062596</c:v>
                  </c:pt>
                  <c:pt idx="26">
                    <c:v>194.7725093341819</c:v>
                  </c:pt>
                  <c:pt idx="27">
                    <c:v>168.69184318665293</c:v>
                  </c:pt>
                  <c:pt idx="28">
                    <c:v>0</c:v>
                  </c:pt>
                  <c:pt idx="30">
                    <c:v>558.09619562908847</c:v>
                  </c:pt>
                  <c:pt idx="31">
                    <c:v>398.64013973506326</c:v>
                  </c:pt>
                  <c:pt idx="32">
                    <c:v>323.92300068989061</c:v>
                  </c:pt>
                  <c:pt idx="33">
                    <c:v>280.54866789837752</c:v>
                  </c:pt>
                  <c:pt idx="34">
                    <c:v>0</c:v>
                  </c:pt>
                  <c:pt idx="36">
                    <c:v>0</c:v>
                  </c:pt>
                  <c:pt idx="37">
                    <c:v>0</c:v>
                  </c:pt>
                  <c:pt idx="38">
                    <c:v>0</c:v>
                  </c:pt>
                  <c:pt idx="39">
                    <c:v>0</c:v>
                  </c:pt>
                  <c:pt idx="40">
                    <c:v>0</c:v>
                  </c:pt>
                  <c:pt idx="42">
                    <c:v>-2285.9500403192815</c:v>
                  </c:pt>
                  <c:pt idx="43">
                    <c:v>-1701.9865142948206</c:v>
                  </c:pt>
                  <c:pt idx="44">
                    <c:v>-1520.5794093553363</c:v>
                  </c:pt>
                  <c:pt idx="45">
                    <c:v>-1622.1310193340996</c:v>
                  </c:pt>
                  <c:pt idx="46">
                    <c:v>-1182.489015255469</c:v>
                  </c:pt>
                </c:numCache>
              </c:numRef>
            </c:minus>
          </c:errBars>
          <c:cat>
            <c:multiLvlStrRef>
              <c:f>SUMMARY!$AY$97:$AZ$143</c:f>
              <c:multiLvlStrCache>
                <c:ptCount val="4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lvl>
                <c:lvl>
                  <c:pt idx="0">
                    <c:v>Vehicle Data
Cases</c:v>
                  </c:pt>
                  <c:pt idx="5">
                    <c:v> </c:v>
                  </c:pt>
                  <c:pt idx="6">
                    <c:v>Li-ion Battery
Life Cases</c:v>
                  </c:pt>
                  <c:pt idx="11">
                    <c:v> </c:v>
                  </c:pt>
                  <c:pt idx="12">
                    <c:v>Driving Location Cases</c:v>
                  </c:pt>
                  <c:pt idx="17">
                    <c:v> </c:v>
                  </c:pt>
                  <c:pt idx="18">
                    <c:v>GHG Value
Cases</c:v>
                  </c:pt>
                  <c:pt idx="23">
                    <c:v> </c:v>
                  </c:pt>
                  <c:pt idx="24">
                    <c:v>Oil Disruption
Cases</c:v>
                  </c:pt>
                  <c:pt idx="29">
                    <c:v> </c:v>
                  </c:pt>
                  <c:pt idx="30">
                    <c:v>Oil Monopsony
Cases</c:v>
                  </c:pt>
                  <c:pt idx="35">
                    <c:v> </c:v>
                  </c:pt>
                  <c:pt idx="36">
                    <c:v>Oil Military
Cases</c:v>
                  </c:pt>
                  <c:pt idx="41">
                    <c:v> </c:v>
                  </c:pt>
                  <c:pt idx="42">
                    <c:v>Discount 
Rate Cases</c:v>
                  </c:pt>
                </c:lvl>
              </c:multiLvlStrCache>
            </c:multiLvlStrRef>
          </c:cat>
          <c:val>
            <c:numRef>
              <c:f>SUMMARY!$BN$97:$BN$143</c:f>
              <c:numCache>
                <c:formatCode>General</c:formatCode>
                <c:ptCount val="47"/>
              </c:numCache>
            </c:numRef>
          </c:val>
        </c:ser>
        <c:gapWidth val="25"/>
        <c:overlap val="100"/>
        <c:axId val="137547776"/>
        <c:axId val="137549312"/>
      </c:barChart>
      <c:lineChart>
        <c:grouping val="standard"/>
        <c:ser>
          <c:idx val="1"/>
          <c:order val="1"/>
          <c:tx>
            <c:strRef>
              <c:f>SUMMARY!$BB$42</c:f>
              <c:strCache>
                <c:ptCount val="1"/>
                <c:pt idx="0">
                  <c:v>Low Case</c:v>
                </c:pt>
              </c:strCache>
            </c:strRef>
          </c:tx>
          <c:spPr>
            <a:ln w="12700">
              <a:prstDash val="sysDot"/>
            </a:ln>
          </c:spPr>
          <c:marker>
            <c:symbol val="none"/>
          </c:marker>
          <c:cat>
            <c:multiLvlStrRef>
              <c:f>SUMMARY!$AY$97:$AZ$143</c:f>
              <c:multiLvlStrCache>
                <c:ptCount val="4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lvl>
                <c:lvl>
                  <c:pt idx="0">
                    <c:v>Vehicle Data
Cases</c:v>
                  </c:pt>
                  <c:pt idx="5">
                    <c:v> </c:v>
                  </c:pt>
                  <c:pt idx="6">
                    <c:v>Li-ion Battery
Life Cases</c:v>
                  </c:pt>
                  <c:pt idx="11">
                    <c:v> </c:v>
                  </c:pt>
                  <c:pt idx="12">
                    <c:v>Driving Location Cases</c:v>
                  </c:pt>
                  <c:pt idx="17">
                    <c:v> </c:v>
                  </c:pt>
                  <c:pt idx="18">
                    <c:v>GHG Value
Cases</c:v>
                  </c:pt>
                  <c:pt idx="23">
                    <c:v> </c:v>
                  </c:pt>
                  <c:pt idx="24">
                    <c:v>Oil Disruption
Cases</c:v>
                  </c:pt>
                  <c:pt idx="29">
                    <c:v> </c:v>
                  </c:pt>
                  <c:pt idx="30">
                    <c:v>Oil Monopsony
Cases</c:v>
                  </c:pt>
                  <c:pt idx="35">
                    <c:v> </c:v>
                  </c:pt>
                  <c:pt idx="36">
                    <c:v>Oil Military
Cases</c:v>
                  </c:pt>
                  <c:pt idx="41">
                    <c:v> </c:v>
                  </c:pt>
                  <c:pt idx="42">
                    <c:v>Discount 
Rate Cases</c:v>
                  </c:pt>
                </c:lvl>
              </c:multiLvlStrCache>
            </c:multiLvlStrRef>
          </c:cat>
          <c:val>
            <c:numRef>
              <c:f>SUMMARY!$BB$97:$BB$143</c:f>
              <c:numCache>
                <c:formatCode>"$"#,##0</c:formatCode>
                <c:ptCount val="47"/>
                <c:pt idx="0">
                  <c:v>4801.5346124455709</c:v>
                </c:pt>
                <c:pt idx="1">
                  <c:v>3910.2272578777161</c:v>
                </c:pt>
                <c:pt idx="2">
                  <c:v>3632.7889258841947</c:v>
                </c:pt>
                <c:pt idx="3">
                  <c:v>4145.8901532997616</c:v>
                </c:pt>
                <c:pt idx="4">
                  <c:v>4667.4752102121438</c:v>
                </c:pt>
                <c:pt idx="6">
                  <c:v>4801.5346124455709</c:v>
                </c:pt>
                <c:pt idx="7">
                  <c:v>3910.2272578777161</c:v>
                </c:pt>
                <c:pt idx="8">
                  <c:v>3721.3997336908124</c:v>
                </c:pt>
                <c:pt idx="9">
                  <c:v>4449.8044436715054</c:v>
                </c:pt>
                <c:pt idx="10">
                  <c:v>5898.1858128104841</c:v>
                </c:pt>
                <c:pt idx="12">
                  <c:v>4303.7869450633434</c:v>
                </c:pt>
                <c:pt idx="13">
                  <c:v>3441.5908813958449</c:v>
                </c:pt>
                <c:pt idx="14">
                  <c:v>3278.0495496322947</c:v>
                </c:pt>
                <c:pt idx="15">
                  <c:v>3863.8057497200984</c:v>
                </c:pt>
                <c:pt idx="16">
                  <c:v>4600.0258722296448</c:v>
                </c:pt>
                <c:pt idx="18">
                  <c:v>3451.7073060734569</c:v>
                </c:pt>
                <c:pt idx="19">
                  <c:v>2887.9448650701861</c:v>
                </c:pt>
                <c:pt idx="20">
                  <c:v>2652.1286738568469</c:v>
                </c:pt>
                <c:pt idx="21">
                  <c:v>2989.9372396261324</c:v>
                </c:pt>
                <c:pt idx="22">
                  <c:v>3451.607399994477</c:v>
                </c:pt>
                <c:pt idx="24">
                  <c:v>4465.9554895026949</c:v>
                </c:pt>
                <c:pt idx="25">
                  <c:v>3670.5278843470901</c:v>
                </c:pt>
                <c:pt idx="26">
                  <c:v>3438.0164165500128</c:v>
                </c:pt>
                <c:pt idx="27">
                  <c:v>3977.1983101131086</c:v>
                </c:pt>
                <c:pt idx="28">
                  <c:v>4667.4752102121438</c:v>
                </c:pt>
                <c:pt idx="30">
                  <c:v>4243.4384168164825</c:v>
                </c:pt>
                <c:pt idx="31">
                  <c:v>3511.5871181426528</c:v>
                </c:pt>
                <c:pt idx="32">
                  <c:v>3308.8659251943041</c:v>
                </c:pt>
                <c:pt idx="33">
                  <c:v>3865.341485401384</c:v>
                </c:pt>
                <c:pt idx="34">
                  <c:v>4667.4752102121438</c:v>
                </c:pt>
                <c:pt idx="36">
                  <c:v>4801.5346124455709</c:v>
                </c:pt>
                <c:pt idx="37">
                  <c:v>3910.2272578777161</c:v>
                </c:pt>
                <c:pt idx="38">
                  <c:v>3632.7889258841947</c:v>
                </c:pt>
                <c:pt idx="39">
                  <c:v>4145.8901532997616</c:v>
                </c:pt>
                <c:pt idx="40">
                  <c:v>4667.4752102121438</c:v>
                </c:pt>
                <c:pt idx="42">
                  <c:v>7087.4846527648524</c:v>
                </c:pt>
                <c:pt idx="43">
                  <c:v>5612.2137721725367</c:v>
                </c:pt>
                <c:pt idx="44">
                  <c:v>5153.368335239531</c:v>
                </c:pt>
                <c:pt idx="45">
                  <c:v>5768.0211726338612</c:v>
                </c:pt>
                <c:pt idx="46">
                  <c:v>5849.9642254676128</c:v>
                </c:pt>
              </c:numCache>
            </c:numRef>
          </c:val>
        </c:ser>
        <c:ser>
          <c:idx val="2"/>
          <c:order val="2"/>
          <c:tx>
            <c:strRef>
              <c:f>SUMMARY!$BC$42</c:f>
              <c:strCache>
                <c:ptCount val="1"/>
                <c:pt idx="0">
                  <c:v>High Case</c:v>
                </c:pt>
              </c:strCache>
            </c:strRef>
          </c:tx>
          <c:spPr>
            <a:ln w="12700">
              <a:solidFill>
                <a:schemeClr val="tx2"/>
              </a:solidFill>
              <a:prstDash val="sysDot"/>
            </a:ln>
          </c:spPr>
          <c:marker>
            <c:symbol val="none"/>
          </c:marker>
          <c:cat>
            <c:multiLvlStrRef>
              <c:f>SUMMARY!$AY$97:$AZ$143</c:f>
              <c:multiLvlStrCache>
                <c:ptCount val="4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lvl>
                <c:lvl>
                  <c:pt idx="0">
                    <c:v>Vehicle Data
Cases</c:v>
                  </c:pt>
                  <c:pt idx="5">
                    <c:v> </c:v>
                  </c:pt>
                  <c:pt idx="6">
                    <c:v>Li-ion Battery
Life Cases</c:v>
                  </c:pt>
                  <c:pt idx="11">
                    <c:v> </c:v>
                  </c:pt>
                  <c:pt idx="12">
                    <c:v>Driving Location Cases</c:v>
                  </c:pt>
                  <c:pt idx="17">
                    <c:v> </c:v>
                  </c:pt>
                  <c:pt idx="18">
                    <c:v>GHG Value
Cases</c:v>
                  </c:pt>
                  <c:pt idx="23">
                    <c:v> </c:v>
                  </c:pt>
                  <c:pt idx="24">
                    <c:v>Oil Disruption
Cases</c:v>
                  </c:pt>
                  <c:pt idx="29">
                    <c:v> </c:v>
                  </c:pt>
                  <c:pt idx="30">
                    <c:v>Oil Monopsony
Cases</c:v>
                  </c:pt>
                  <c:pt idx="35">
                    <c:v> </c:v>
                  </c:pt>
                  <c:pt idx="36">
                    <c:v>Oil Military
Cases</c:v>
                  </c:pt>
                  <c:pt idx="41">
                    <c:v> </c:v>
                  </c:pt>
                  <c:pt idx="42">
                    <c:v>Discount 
Rate Cases</c:v>
                  </c:pt>
                </c:lvl>
              </c:multiLvlStrCache>
            </c:multiLvlStrRef>
          </c:cat>
          <c:val>
            <c:numRef>
              <c:f>SUMMARY!$BC$97:$BC$143</c:f>
              <c:numCache>
                <c:formatCode>"$"#,##0</c:formatCode>
                <c:ptCount val="47"/>
                <c:pt idx="0">
                  <c:v>4281.8432748261557</c:v>
                </c:pt>
                <c:pt idx="1">
                  <c:v>3539.2272707758125</c:v>
                </c:pt>
                <c:pt idx="2">
                  <c:v>3244.6460654505472</c:v>
                </c:pt>
                <c:pt idx="3">
                  <c:v>3731.5071096440442</c:v>
                </c:pt>
                <c:pt idx="4">
                  <c:v>4297.1201430777919</c:v>
                </c:pt>
                <c:pt idx="6">
                  <c:v>4801.5346124455709</c:v>
                </c:pt>
                <c:pt idx="7">
                  <c:v>3910.2272578777161</c:v>
                </c:pt>
                <c:pt idx="8">
                  <c:v>3632.7889258841947</c:v>
                </c:pt>
                <c:pt idx="9">
                  <c:v>4145.8901532997616</c:v>
                </c:pt>
                <c:pt idx="10">
                  <c:v>4667.4752102121438</c:v>
                </c:pt>
                <c:pt idx="12">
                  <c:v>6697.6196125010074</c:v>
                </c:pt>
                <c:pt idx="13">
                  <c:v>5681.9958077039519</c:v>
                </c:pt>
                <c:pt idx="14">
                  <c:v>4979.6432883898633</c:v>
                </c:pt>
                <c:pt idx="15">
                  <c:v>5221.6914713399337</c:v>
                </c:pt>
                <c:pt idx="16">
                  <c:v>4942.5400357672734</c:v>
                </c:pt>
                <c:pt idx="18">
                  <c:v>9525.930184747971</c:v>
                </c:pt>
                <c:pt idx="19">
                  <c:v>7488.215632704072</c:v>
                </c:pt>
                <c:pt idx="20">
                  <c:v>7065.099807979911</c:v>
                </c:pt>
                <c:pt idx="21">
                  <c:v>8191.7253511574654</c:v>
                </c:pt>
                <c:pt idx="22">
                  <c:v>8923.0125459739793</c:v>
                </c:pt>
                <c:pt idx="24">
                  <c:v>5513.519567657454</c:v>
                </c:pt>
                <c:pt idx="25">
                  <c:v>4418.7879401719183</c:v>
                </c:pt>
                <c:pt idx="26">
                  <c:v>4046.0300569732985</c:v>
                </c:pt>
                <c:pt idx="27">
                  <c:v>4503.7969663415979</c:v>
                </c:pt>
                <c:pt idx="28">
                  <c:v>4667.4752102121438</c:v>
                </c:pt>
                <c:pt idx="30">
                  <c:v>5686.6621347287664</c:v>
                </c:pt>
                <c:pt idx="31">
                  <c:v>4542.4612023657128</c:v>
                </c:pt>
                <c:pt idx="32">
                  <c:v>4146.5232341569754</c:v>
                </c:pt>
                <c:pt idx="33">
                  <c:v>4590.8337835225648</c:v>
                </c:pt>
                <c:pt idx="34">
                  <c:v>4667.4752102121438</c:v>
                </c:pt>
                <c:pt idx="36">
                  <c:v>5281.4253728426884</c:v>
                </c:pt>
                <c:pt idx="37">
                  <c:v>4253.0063724470856</c:v>
                </c:pt>
                <c:pt idx="38">
                  <c:v>3911.3209358291219</c:v>
                </c:pt>
                <c:pt idx="39">
                  <c:v>4387.1258302683027</c:v>
                </c:pt>
                <c:pt idx="40">
                  <c:v>4667.4752102121438</c:v>
                </c:pt>
                <c:pt idx="42">
                  <c:v>3214.8754220413684</c:v>
                </c:pt>
                <c:pt idx="43">
                  <c:v>2729.4661746202564</c:v>
                </c:pt>
                <c:pt idx="44">
                  <c:v>2577.8798678572011</c:v>
                </c:pt>
                <c:pt idx="45">
                  <c:v>3020.529192159574</c:v>
                </c:pt>
                <c:pt idx="46">
                  <c:v>3868.0242980648513</c:v>
                </c:pt>
              </c:numCache>
            </c:numRef>
          </c:val>
        </c:ser>
        <c:marker val="1"/>
        <c:axId val="137547776"/>
        <c:axId val="137549312"/>
      </c:lineChart>
      <c:catAx>
        <c:axId val="137547776"/>
        <c:scaling>
          <c:orientation val="minMax"/>
        </c:scaling>
        <c:axPos val="b"/>
        <c:majorTickMark val="none"/>
        <c:tickLblPos val="nextTo"/>
        <c:crossAx val="137549312"/>
        <c:crosses val="autoZero"/>
        <c:auto val="1"/>
        <c:lblAlgn val="ctr"/>
        <c:lblOffset val="100"/>
      </c:catAx>
      <c:valAx>
        <c:axId val="137549312"/>
        <c:scaling>
          <c:orientation val="minMax"/>
          <c:max val="10000"/>
        </c:scaling>
        <c:axPos val="l"/>
        <c:majorGridlines/>
        <c:numFmt formatCode="&quot;$&quot;#,##0" sourceLinked="1"/>
        <c:tickLblPos val="nextTo"/>
        <c:crossAx val="137547776"/>
        <c:crosses val="autoZero"/>
        <c:crossBetween val="between"/>
        <c:majorUnit val="2000"/>
      </c:valAx>
    </c:plotArea>
    <c:legend>
      <c:legendPos val="r"/>
      <c:legendEntry>
        <c:idx val="8"/>
        <c:delete val="1"/>
      </c:legendEntry>
      <c:layout>
        <c:manualLayout>
          <c:xMode val="edge"/>
          <c:yMode val="edge"/>
          <c:x val="0.88397990904950863"/>
          <c:y val="0.13600807122994388"/>
          <c:w val="9.3282555942032983E-2"/>
          <c:h val="0.60179741129028286"/>
        </c:manualLayout>
      </c:layout>
    </c:legend>
    <c:plotVisOnly val="1"/>
    <c:dispBlanksAs val="gap"/>
  </c:chart>
  <c:spPr>
    <a:ln>
      <a:noFill/>
    </a:ln>
  </c:spPr>
  <c:printSettings>
    <c:headerFooter/>
    <c:pageMargins b="0.75000000000000866" l="0.70000000000000062" r="0.70000000000000062" t="0.7500000000000086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a:pPr>
            <a:r>
              <a:rPr lang="en-US" sz="1600"/>
              <a:t>Lifetime Emissions  Externalities and Oil Premium wit</a:t>
            </a:r>
            <a:r>
              <a:rPr lang="en-US" sz="1600" baseline="0"/>
              <a:t>h </a:t>
            </a:r>
            <a:r>
              <a:rPr lang="en-US" sz="1600"/>
              <a:t>Sensitivity Analysis</a:t>
            </a:r>
          </a:p>
        </c:rich>
      </c:tx>
      <c:layout>
        <c:manualLayout>
          <c:xMode val="edge"/>
          <c:yMode val="edge"/>
          <c:x val="0.33219663810301858"/>
          <c:y val="1.2398950131233596E-2"/>
        </c:manualLayout>
      </c:layout>
    </c:title>
    <c:plotArea>
      <c:layout>
        <c:manualLayout>
          <c:layoutTarget val="inner"/>
          <c:xMode val="edge"/>
          <c:yMode val="edge"/>
          <c:x val="5.2657893836817106E-2"/>
          <c:y val="0.13141967611942298"/>
          <c:w val="0.91876691884102657"/>
          <c:h val="0.52200787186840825"/>
        </c:manualLayout>
      </c:layout>
      <c:barChart>
        <c:barDir val="col"/>
        <c:grouping val="stacked"/>
        <c:ser>
          <c:idx val="0"/>
          <c:order val="0"/>
          <c:tx>
            <c:strRef>
              <c:f>SUMMARY!$BA$42</c:f>
              <c:strCache>
                <c:ptCount val="1"/>
                <c:pt idx="0">
                  <c:v>Base Case</c:v>
                </c:pt>
              </c:strCache>
            </c:strRef>
          </c:tx>
          <c:spPr>
            <a:solidFill>
              <a:schemeClr val="bg1">
                <a:lumMod val="85000"/>
              </a:schemeClr>
            </a:solidFill>
            <a:ln>
              <a:solidFill>
                <a:schemeClr val="bg1">
                  <a:lumMod val="65000"/>
                </a:schemeClr>
              </a:solidFill>
            </a:ln>
          </c:spPr>
          <c:errBars>
            <c:errBarType val="both"/>
            <c:errValType val="cust"/>
            <c:plus>
              <c:numRef>
                <c:f>SUMMARY!$BP$43:$BP$143</c:f>
                <c:numCache>
                  <c:formatCode>General</c:formatCode>
                  <c:ptCount val="101"/>
                  <c:pt idx="6">
                    <c:v>0</c:v>
                  </c:pt>
                  <c:pt idx="7">
                    <c:v>0</c:v>
                  </c:pt>
                  <c:pt idx="8">
                    <c:v>454.50917867969429</c:v>
                  </c:pt>
                  <c:pt idx="9">
                    <c:v>1335.4393389001552</c:v>
                  </c:pt>
                  <c:pt idx="10">
                    <c:v>3048.0068665330964</c:v>
                  </c:pt>
                  <c:pt idx="12">
                    <c:v>0</c:v>
                  </c:pt>
                  <c:pt idx="13">
                    <c:v>0</c:v>
                  </c:pt>
                  <c:pt idx="14">
                    <c:v>-0.27737846446689218</c:v>
                  </c:pt>
                  <c:pt idx="15">
                    <c:v>-0.81499369119137555</c:v>
                  </c:pt>
                  <c:pt idx="16">
                    <c:v>-1.8601416736592</c:v>
                  </c:pt>
                  <c:pt idx="18">
                    <c:v>1108.3929919375905</c:v>
                  </c:pt>
                  <c:pt idx="19">
                    <c:v>791.70927995542252</c:v>
                  </c:pt>
                  <c:pt idx="20">
                    <c:v>643.31917455084067</c:v>
                  </c:pt>
                  <c:pt idx="21">
                    <c:v>557.17666565613399</c:v>
                  </c:pt>
                  <c:pt idx="22">
                    <c:v>0</c:v>
                  </c:pt>
                  <c:pt idx="24">
                    <c:v>118.22355217602671</c:v>
                  </c:pt>
                  <c:pt idx="25">
                    <c:v>84.445394411447978</c:v>
                  </c:pt>
                  <c:pt idx="26">
                    <c:v>68.617790397065619</c:v>
                  </c:pt>
                  <c:pt idx="27">
                    <c:v>59.429647320588629</c:v>
                  </c:pt>
                  <c:pt idx="28">
                    <c:v>0</c:v>
                  </c:pt>
                  <c:pt idx="30">
                    <c:v>176.25201440434012</c:v>
                  </c:pt>
                  <c:pt idx="31">
                    <c:v>125.89429600310086</c:v>
                  </c:pt>
                  <c:pt idx="32">
                    <c:v>102.29792252774132</c:v>
                  </c:pt>
                  <c:pt idx="33">
                    <c:v>88.599901312365546</c:v>
                  </c:pt>
                  <c:pt idx="34">
                    <c:v>0</c:v>
                  </c:pt>
                  <c:pt idx="36">
                    <c:v>48.398581668713632</c:v>
                  </c:pt>
                  <c:pt idx="37">
                    <c:v>50.516940350146797</c:v>
                  </c:pt>
                  <c:pt idx="38">
                    <c:v>48.58401304535073</c:v>
                  </c:pt>
                  <c:pt idx="39">
                    <c:v>65.098183024764694</c:v>
                  </c:pt>
                  <c:pt idx="40">
                    <c:v>138.47036004690744</c:v>
                  </c:pt>
                  <c:pt idx="42">
                    <c:v>256.13614570984373</c:v>
                  </c:pt>
                  <c:pt idx="43">
                    <c:v>319.61516410316426</c:v>
                  </c:pt>
                  <c:pt idx="44">
                    <c:v>278.77436375171192</c:v>
                  </c:pt>
                  <c:pt idx="45">
                    <c:v>360.02237115808748</c:v>
                  </c:pt>
                  <c:pt idx="46">
                    <c:v>721.00588952736598</c:v>
                  </c:pt>
                  <c:pt idx="48">
                    <c:v>164.5538308232035</c:v>
                  </c:pt>
                  <c:pt idx="49">
                    <c:v>179.79188683018492</c:v>
                  </c:pt>
                  <c:pt idx="50">
                    <c:v>193.84904929534832</c:v>
                  </c:pt>
                  <c:pt idx="51">
                    <c:v>321.74216707838514</c:v>
                  </c:pt>
                  <c:pt idx="52">
                    <c:v>834.33720698886918</c:v>
                  </c:pt>
                  <c:pt idx="54">
                    <c:v>-519.69133761941521</c:v>
                  </c:pt>
                  <c:pt idx="55">
                    <c:v>-370.99998710190357</c:v>
                  </c:pt>
                  <c:pt idx="56">
                    <c:v>-388.14286043364746</c:v>
                  </c:pt>
                  <c:pt idx="57">
                    <c:v>-414.3830436557173</c:v>
                  </c:pt>
                  <c:pt idx="58">
                    <c:v>-370.35506713435188</c:v>
                  </c:pt>
                  <c:pt idx="60">
                    <c:v>0</c:v>
                  </c:pt>
                  <c:pt idx="61">
                    <c:v>0</c:v>
                  </c:pt>
                  <c:pt idx="62">
                    <c:v>0</c:v>
                  </c:pt>
                  <c:pt idx="63">
                    <c:v>0</c:v>
                  </c:pt>
                  <c:pt idx="64">
                    <c:v>0</c:v>
                  </c:pt>
                  <c:pt idx="66">
                    <c:v>1896.0850000554365</c:v>
                  </c:pt>
                  <c:pt idx="67">
                    <c:v>1771.7685498262358</c:v>
                  </c:pt>
                  <c:pt idx="68">
                    <c:v>1346.8543625056686</c:v>
                  </c:pt>
                  <c:pt idx="69">
                    <c:v>1075.8013180401722</c:v>
                  </c:pt>
                  <c:pt idx="70">
                    <c:v>275.06482555512957</c:v>
                  </c:pt>
                  <c:pt idx="72">
                    <c:v>4724.3955723024001</c:v>
                  </c:pt>
                  <c:pt idx="73">
                    <c:v>3577.988374826356</c:v>
                  </c:pt>
                  <c:pt idx="74">
                    <c:v>3432.3108820957164</c:v>
                  </c:pt>
                  <c:pt idx="75">
                    <c:v>4045.8351978577039</c:v>
                  </c:pt>
                  <c:pt idx="76">
                    <c:v>4255.5373357618355</c:v>
                  </c:pt>
                  <c:pt idx="78">
                    <c:v>711.98495521188306</c:v>
                  </c:pt>
                  <c:pt idx="79">
                    <c:v>508.56068229420225</c:v>
                  </c:pt>
                  <c:pt idx="80">
                    <c:v>413.24113108910387</c:v>
                  </c:pt>
                  <c:pt idx="81">
                    <c:v>357.90681304183636</c:v>
                  </c:pt>
                  <c:pt idx="82">
                    <c:v>0</c:v>
                  </c:pt>
                  <c:pt idx="84">
                    <c:v>885.1275222831955</c:v>
                  </c:pt>
                  <c:pt idx="85">
                    <c:v>632.23394448799672</c:v>
                  </c:pt>
                  <c:pt idx="86">
                    <c:v>513.73430827278071</c:v>
                  </c:pt>
                  <c:pt idx="87">
                    <c:v>444.94363022280322</c:v>
                  </c:pt>
                  <c:pt idx="88">
                    <c:v>0</c:v>
                  </c:pt>
                  <c:pt idx="90">
                    <c:v>479.89076039711745</c:v>
                  </c:pt>
                  <c:pt idx="91">
                    <c:v>342.77911456936954</c:v>
                  </c:pt>
                  <c:pt idx="92">
                    <c:v>278.53200994492727</c:v>
                  </c:pt>
                  <c:pt idx="93">
                    <c:v>241.23567696854116</c:v>
                  </c:pt>
                  <c:pt idx="94">
                    <c:v>0</c:v>
                  </c:pt>
                  <c:pt idx="96">
                    <c:v>-1586.6591904042025</c:v>
                  </c:pt>
                  <c:pt idx="97">
                    <c:v>-1180.7610832574596</c:v>
                  </c:pt>
                  <c:pt idx="98">
                    <c:v>-1054.9090580269935</c:v>
                  </c:pt>
                  <c:pt idx="99">
                    <c:v>-1125.3609611401876</c:v>
                  </c:pt>
                  <c:pt idx="100">
                    <c:v>-799.45091214729246</c:v>
                  </c:pt>
                </c:numCache>
              </c:numRef>
            </c:plus>
            <c:minus>
              <c:numRef>
                <c:f>SUMMARY!$BO$43:$BO$143</c:f>
                <c:numCache>
                  <c:formatCode>General</c:formatCode>
                  <c:ptCount val="101"/>
                  <c:pt idx="6">
                    <c:v>0</c:v>
                  </c:pt>
                  <c:pt idx="7">
                    <c:v>0</c:v>
                  </c:pt>
                  <c:pt idx="8">
                    <c:v>262.75061195019362</c:v>
                  </c:pt>
                  <c:pt idx="9">
                    <c:v>772.01411979769273</c:v>
                  </c:pt>
                  <c:pt idx="10">
                    <c:v>1762.0450960669236</c:v>
                  </c:pt>
                  <c:pt idx="12">
                    <c:v>0</c:v>
                  </c:pt>
                  <c:pt idx="13">
                    <c:v>0</c:v>
                  </c:pt>
                  <c:pt idx="14">
                    <c:v>0</c:v>
                  </c:pt>
                  <c:pt idx="15">
                    <c:v>0</c:v>
                  </c:pt>
                  <c:pt idx="16">
                    <c:v>0</c:v>
                  </c:pt>
                  <c:pt idx="18">
                    <c:v>186.62395720419954</c:v>
                  </c:pt>
                  <c:pt idx="19">
                    <c:v>133.3028265744274</c:v>
                  </c:pt>
                  <c:pt idx="20">
                    <c:v>108.31787188598219</c:v>
                  </c:pt>
                  <c:pt idx="21">
                    <c:v>93.813760067911971</c:v>
                  </c:pt>
                  <c:pt idx="22">
                    <c:v>0</c:v>
                  </c:pt>
                  <c:pt idx="24">
                    <c:v>70.217634142170027</c:v>
                  </c:pt>
                  <c:pt idx="25">
                    <c:v>50.155452958692877</c:v>
                  </c:pt>
                  <c:pt idx="26">
                    <c:v>40.754814189403987</c:v>
                  </c:pt>
                  <c:pt idx="27">
                    <c:v>35.297613343082958</c:v>
                  </c:pt>
                  <c:pt idx="28">
                    <c:v>0</c:v>
                  </c:pt>
                  <c:pt idx="30">
                    <c:v>18.335932779051291</c:v>
                  </c:pt>
                  <c:pt idx="31">
                    <c:v>13.097094842178649</c:v>
                  </c:pt>
                  <c:pt idx="32">
                    <c:v>10.642305775877048</c:v>
                  </c:pt>
                  <c:pt idx="33">
                    <c:v>9.2172667653430835</c:v>
                  </c:pt>
                  <c:pt idx="34">
                    <c:v>0</c:v>
                  </c:pt>
                  <c:pt idx="36">
                    <c:v>65.792574846020216</c:v>
                  </c:pt>
                  <c:pt idx="37">
                    <c:v>68.988306518566787</c:v>
                  </c:pt>
                  <c:pt idx="38">
                    <c:v>66.072314499457207</c:v>
                  </c:pt>
                  <c:pt idx="39">
                    <c:v>90.985402406434787</c:v>
                  </c:pt>
                  <c:pt idx="40">
                    <c:v>201.67382927607014</c:v>
                  </c:pt>
                  <c:pt idx="42">
                    <c:v>454.94988383238706</c:v>
                  </c:pt>
                  <c:pt idx="43">
                    <c:v>524.7886467282442</c:v>
                  </c:pt>
                  <c:pt idx="44">
                    <c:v>531.08973541247587</c:v>
                  </c:pt>
                  <c:pt idx="45">
                    <c:v>698.89622953986282</c:v>
                  </c:pt>
                  <c:pt idx="46">
                    <c:v>1444.4576357703077</c:v>
                  </c:pt>
                  <c:pt idx="48">
                    <c:v>235.58403210891174</c:v>
                  </c:pt>
                  <c:pt idx="49">
                    <c:v>257.29894146856805</c:v>
                  </c:pt>
                  <c:pt idx="50">
                    <c:v>277.33274465694103</c:v>
                  </c:pt>
                  <c:pt idx="51">
                    <c:v>459.59623693370395</c:v>
                  </c:pt>
                  <c:pt idx="52">
                    <c:v>1174.8330531466841</c:v>
                  </c:pt>
                  <c:pt idx="54">
                    <c:v>0</c:v>
                  </c:pt>
                  <c:pt idx="55">
                    <c:v>0</c:v>
                  </c:pt>
                  <c:pt idx="56">
                    <c:v>0</c:v>
                  </c:pt>
                  <c:pt idx="57">
                    <c:v>0</c:v>
                  </c:pt>
                  <c:pt idx="58">
                    <c:v>0</c:v>
                  </c:pt>
                  <c:pt idx="60">
                    <c:v>0</c:v>
                  </c:pt>
                  <c:pt idx="61">
                    <c:v>0</c:v>
                  </c:pt>
                  <c:pt idx="62">
                    <c:v>-88.610807806617686</c:v>
                  </c:pt>
                  <c:pt idx="63">
                    <c:v>-303.91429037174385</c:v>
                  </c:pt>
                  <c:pt idx="64">
                    <c:v>-1230.7106025983403</c:v>
                  </c:pt>
                  <c:pt idx="66">
                    <c:v>497.74766738222752</c:v>
                  </c:pt>
                  <c:pt idx="67">
                    <c:v>468.63637648187114</c:v>
                  </c:pt>
                  <c:pt idx="68">
                    <c:v>354.73937625190001</c:v>
                  </c:pt>
                  <c:pt idx="69">
                    <c:v>282.0844035796631</c:v>
                  </c:pt>
                  <c:pt idx="70">
                    <c:v>67.449337982498946</c:v>
                  </c:pt>
                  <c:pt idx="72">
                    <c:v>1349.827306372114</c:v>
                  </c:pt>
                  <c:pt idx="73">
                    <c:v>1022.28239280753</c:v>
                  </c:pt>
                  <c:pt idx="74">
                    <c:v>980.66025202734772</c:v>
                  </c:pt>
                  <c:pt idx="75">
                    <c:v>1155.9529136736292</c:v>
                  </c:pt>
                  <c:pt idx="76">
                    <c:v>1215.8678102176668</c:v>
                  </c:pt>
                  <c:pt idx="78">
                    <c:v>335.57912294287598</c:v>
                  </c:pt>
                  <c:pt idx="79">
                    <c:v>239.69937353062596</c:v>
                  </c:pt>
                  <c:pt idx="80">
                    <c:v>194.7725093341819</c:v>
                  </c:pt>
                  <c:pt idx="81">
                    <c:v>168.69184318665293</c:v>
                  </c:pt>
                  <c:pt idx="82">
                    <c:v>0</c:v>
                  </c:pt>
                  <c:pt idx="84">
                    <c:v>558.09619562908847</c:v>
                  </c:pt>
                  <c:pt idx="85">
                    <c:v>398.64013973506326</c:v>
                  </c:pt>
                  <c:pt idx="86">
                    <c:v>323.92300068989061</c:v>
                  </c:pt>
                  <c:pt idx="87">
                    <c:v>280.54866789837752</c:v>
                  </c:pt>
                  <c:pt idx="88">
                    <c:v>0</c:v>
                  </c:pt>
                  <c:pt idx="90">
                    <c:v>0</c:v>
                  </c:pt>
                  <c:pt idx="91">
                    <c:v>0</c:v>
                  </c:pt>
                  <c:pt idx="92">
                    <c:v>0</c:v>
                  </c:pt>
                  <c:pt idx="93">
                    <c:v>0</c:v>
                  </c:pt>
                  <c:pt idx="94">
                    <c:v>0</c:v>
                  </c:pt>
                  <c:pt idx="96">
                    <c:v>-2285.9500403192815</c:v>
                  </c:pt>
                  <c:pt idx="97">
                    <c:v>-1701.9865142948206</c:v>
                  </c:pt>
                  <c:pt idx="98">
                    <c:v>-1520.5794093553363</c:v>
                  </c:pt>
                  <c:pt idx="99">
                    <c:v>-1622.1310193340996</c:v>
                  </c:pt>
                  <c:pt idx="100">
                    <c:v>-1182.489015255469</c:v>
                  </c:pt>
                </c:numCache>
              </c:numRef>
            </c:minus>
            <c:spPr>
              <a:ln w="12700">
                <a:solidFill>
                  <a:sysClr val="windowText" lastClr="000000"/>
                </a:solidFill>
              </a:ln>
            </c:spPr>
          </c:errBars>
          <c:cat>
            <c:multiLvlStrRef>
              <c:f>SUMMARY!$AY$43:$AZ$95</c:f>
              <c:multiLvlStrCache>
                <c:ptCount val="5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lvl>
              </c:multiLvlStrCache>
            </c:multiLvlStrRef>
          </c:cat>
          <c:val>
            <c:numRef>
              <c:f>SUMMARY!$BA$43:$BA$95</c:f>
              <c:numCache>
                <c:formatCode>"$"#,##0</c:formatCode>
                <c:ptCount val="53"/>
                <c:pt idx="6">
                  <c:v>4801.5346124455709</c:v>
                </c:pt>
                <c:pt idx="7">
                  <c:v>3910.2272578777161</c:v>
                </c:pt>
                <c:pt idx="8">
                  <c:v>3632.7889258841947</c:v>
                </c:pt>
                <c:pt idx="9">
                  <c:v>4145.8901532997616</c:v>
                </c:pt>
                <c:pt idx="10">
                  <c:v>4667.4752102121438</c:v>
                </c:pt>
                <c:pt idx="12">
                  <c:v>4801.5346124455709</c:v>
                </c:pt>
                <c:pt idx="13">
                  <c:v>3910.2272578777161</c:v>
                </c:pt>
                <c:pt idx="14">
                  <c:v>3632.7889258841947</c:v>
                </c:pt>
                <c:pt idx="15">
                  <c:v>4145.8901532997616</c:v>
                </c:pt>
                <c:pt idx="16">
                  <c:v>4667.4752102121438</c:v>
                </c:pt>
                <c:pt idx="18">
                  <c:v>4801.5346124455709</c:v>
                </c:pt>
                <c:pt idx="19">
                  <c:v>3910.2272578777161</c:v>
                </c:pt>
                <c:pt idx="20">
                  <c:v>3632.7889258841947</c:v>
                </c:pt>
                <c:pt idx="21">
                  <c:v>4145.8901532997616</c:v>
                </c:pt>
                <c:pt idx="22">
                  <c:v>4667.4752102121438</c:v>
                </c:pt>
                <c:pt idx="24">
                  <c:v>4801.5346124455709</c:v>
                </c:pt>
                <c:pt idx="25">
                  <c:v>3910.2272578777161</c:v>
                </c:pt>
                <c:pt idx="26">
                  <c:v>3632.7889258841947</c:v>
                </c:pt>
                <c:pt idx="27">
                  <c:v>4145.8901532997616</c:v>
                </c:pt>
                <c:pt idx="28">
                  <c:v>4667.4752102121438</c:v>
                </c:pt>
                <c:pt idx="30">
                  <c:v>4801.5346124455709</c:v>
                </c:pt>
                <c:pt idx="31">
                  <c:v>3910.2272578777161</c:v>
                </c:pt>
                <c:pt idx="32">
                  <c:v>3632.7889258841947</c:v>
                </c:pt>
                <c:pt idx="33">
                  <c:v>4145.8901532997616</c:v>
                </c:pt>
                <c:pt idx="34">
                  <c:v>4667.4752102121438</c:v>
                </c:pt>
                <c:pt idx="36">
                  <c:v>4801.5346124455709</c:v>
                </c:pt>
                <c:pt idx="37">
                  <c:v>3910.2272578777161</c:v>
                </c:pt>
                <c:pt idx="38">
                  <c:v>3632.7889258841947</c:v>
                </c:pt>
                <c:pt idx="39">
                  <c:v>4145.8901532997616</c:v>
                </c:pt>
                <c:pt idx="40">
                  <c:v>4667.4752102121438</c:v>
                </c:pt>
                <c:pt idx="42">
                  <c:v>4801.5346124455709</c:v>
                </c:pt>
                <c:pt idx="43">
                  <c:v>3910.2272578777161</c:v>
                </c:pt>
                <c:pt idx="44">
                  <c:v>3632.7889258841947</c:v>
                </c:pt>
                <c:pt idx="45">
                  <c:v>4145.8901532997616</c:v>
                </c:pt>
                <c:pt idx="46">
                  <c:v>4667.4752102121438</c:v>
                </c:pt>
                <c:pt idx="48">
                  <c:v>4801.5346124455709</c:v>
                </c:pt>
                <c:pt idx="49">
                  <c:v>3910.2272578777161</c:v>
                </c:pt>
                <c:pt idx="50">
                  <c:v>3632.7889258841947</c:v>
                </c:pt>
                <c:pt idx="51">
                  <c:v>4145.8901532997616</c:v>
                </c:pt>
                <c:pt idx="52">
                  <c:v>4667.4752102121438</c:v>
                </c:pt>
              </c:numCache>
            </c:numRef>
          </c:val>
        </c:ser>
        <c:ser>
          <c:idx val="3"/>
          <c:order val="3"/>
          <c:tx>
            <c:strRef>
              <c:f>SUMMARY!$BD$42</c:f>
              <c:strCache>
                <c:ptCount val="1"/>
                <c:pt idx="0">
                  <c:v>GHGs</c:v>
                </c:pt>
              </c:strCache>
            </c:strRef>
          </c:tx>
          <c:spPr>
            <a:solidFill>
              <a:srgbClr val="336600"/>
            </a:solidFill>
          </c:spPr>
          <c:cat>
            <c:multiLvlStrRef>
              <c:f>SUMMARY!$AY$43:$AZ$95</c:f>
              <c:multiLvlStrCache>
                <c:ptCount val="5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lvl>
              </c:multiLvlStrCache>
            </c:multiLvlStrRef>
          </c:cat>
          <c:val>
            <c:numRef>
              <c:f>SUMMARY!$BD$43:$BD$95</c:f>
              <c:numCache>
                <c:formatCode>"$"#,##0</c:formatCode>
                <c:ptCount val="53"/>
                <c:pt idx="0">
                  <c:v>2024.7409595581712</c:v>
                </c:pt>
                <c:pt idx="1">
                  <c:v>1533.4235892112956</c:v>
                </c:pt>
                <c:pt idx="2">
                  <c:v>1470.9903780410214</c:v>
                </c:pt>
                <c:pt idx="3">
                  <c:v>1733.929370510444</c:v>
                </c:pt>
                <c:pt idx="4">
                  <c:v>1823.8017153265005</c:v>
                </c:pt>
              </c:numCache>
            </c:numRef>
          </c:val>
        </c:ser>
        <c:ser>
          <c:idx val="4"/>
          <c:order val="4"/>
          <c:tx>
            <c:strRef>
              <c:f>SUMMARY!$BE$42</c:f>
              <c:strCache>
                <c:ptCount val="1"/>
                <c:pt idx="0">
                  <c:v>CO</c:v>
                </c:pt>
              </c:strCache>
            </c:strRef>
          </c:tx>
          <c:spPr>
            <a:solidFill>
              <a:srgbClr val="C00000"/>
            </a:solidFill>
          </c:spPr>
          <c:cat>
            <c:multiLvlStrRef>
              <c:f>SUMMARY!$AY$43:$AZ$95</c:f>
              <c:multiLvlStrCache>
                <c:ptCount val="5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lvl>
              </c:multiLvlStrCache>
            </c:multiLvlStrRef>
          </c:cat>
          <c:val>
            <c:numRef>
              <c:f>SUMMARY!$BE$43:$BE$95</c:f>
              <c:numCache>
                <c:formatCode>"$"#,##0</c:formatCode>
                <c:ptCount val="53"/>
                <c:pt idx="0">
                  <c:v>312.25271204328538</c:v>
                </c:pt>
                <c:pt idx="1">
                  <c:v>309.62966328679141</c:v>
                </c:pt>
                <c:pt idx="2">
                  <c:v>226.57131861625834</c:v>
                </c:pt>
                <c:pt idx="3">
                  <c:v>173.83427687643018</c:v>
                </c:pt>
                <c:pt idx="4">
                  <c:v>17.869358676122928</c:v>
                </c:pt>
              </c:numCache>
            </c:numRef>
          </c:val>
        </c:ser>
        <c:ser>
          <c:idx val="5"/>
          <c:order val="5"/>
          <c:tx>
            <c:strRef>
              <c:f>SUMMARY!$BF$42</c:f>
              <c:strCache>
                <c:ptCount val="1"/>
                <c:pt idx="0">
                  <c:v>NH3</c:v>
                </c:pt>
              </c:strCache>
            </c:strRef>
          </c:tx>
          <c:spPr>
            <a:solidFill>
              <a:schemeClr val="accent1"/>
            </a:solidFill>
          </c:spPr>
          <c:cat>
            <c:multiLvlStrRef>
              <c:f>SUMMARY!$AY$43:$AZ$95</c:f>
              <c:multiLvlStrCache>
                <c:ptCount val="5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lvl>
              </c:multiLvlStrCache>
            </c:multiLvlStrRef>
          </c:cat>
          <c:val>
            <c:numRef>
              <c:f>SUMMARY!$BF$43:$BF$95</c:f>
              <c:numCache>
                <c:formatCode>"$"#,##0</c:formatCode>
                <c:ptCount val="53"/>
                <c:pt idx="0">
                  <c:v>0</c:v>
                </c:pt>
                <c:pt idx="1">
                  <c:v>0</c:v>
                </c:pt>
                <c:pt idx="2">
                  <c:v>0</c:v>
                </c:pt>
                <c:pt idx="3">
                  <c:v>0</c:v>
                </c:pt>
                <c:pt idx="4">
                  <c:v>0</c:v>
                </c:pt>
              </c:numCache>
            </c:numRef>
          </c:val>
        </c:ser>
        <c:ser>
          <c:idx val="6"/>
          <c:order val="6"/>
          <c:tx>
            <c:strRef>
              <c:f>SUMMARY!$BG$42</c:f>
              <c:strCache>
                <c:ptCount val="1"/>
                <c:pt idx="0">
                  <c:v>NOx</c:v>
                </c:pt>
              </c:strCache>
            </c:strRef>
          </c:tx>
          <c:spPr>
            <a:solidFill>
              <a:schemeClr val="accent6"/>
            </a:solidFill>
          </c:spPr>
          <c:cat>
            <c:multiLvlStrRef>
              <c:f>SUMMARY!$AY$43:$AZ$95</c:f>
              <c:multiLvlStrCache>
                <c:ptCount val="5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lvl>
              </c:multiLvlStrCache>
            </c:multiLvlStrRef>
          </c:cat>
          <c:val>
            <c:numRef>
              <c:f>SUMMARY!$BG$43:$BG$95</c:f>
              <c:numCache>
                <c:formatCode>"$"#,##0</c:formatCode>
                <c:ptCount val="53"/>
                <c:pt idx="0">
                  <c:v>104.13165470467408</c:v>
                </c:pt>
                <c:pt idx="1">
                  <c:v>85.056093960905713</c:v>
                </c:pt>
                <c:pt idx="2">
                  <c:v>82.644555338322789</c:v>
                </c:pt>
                <c:pt idx="3">
                  <c:v>99.170110306203711</c:v>
                </c:pt>
                <c:pt idx="4">
                  <c:v>128.73367902891709</c:v>
                </c:pt>
              </c:numCache>
            </c:numRef>
          </c:val>
        </c:ser>
        <c:ser>
          <c:idx val="7"/>
          <c:order val="7"/>
          <c:tx>
            <c:strRef>
              <c:f>SUMMARY!$BH$42</c:f>
              <c:strCache>
                <c:ptCount val="1"/>
                <c:pt idx="0">
                  <c:v>PM10</c:v>
                </c:pt>
              </c:strCache>
            </c:strRef>
          </c:tx>
          <c:spPr>
            <a:solidFill>
              <a:schemeClr val="accent4">
                <a:lumMod val="40000"/>
                <a:lumOff val="60000"/>
              </a:schemeClr>
            </a:solidFill>
          </c:spPr>
          <c:cat>
            <c:multiLvlStrRef>
              <c:f>SUMMARY!$AY$43:$AZ$95</c:f>
              <c:multiLvlStrCache>
                <c:ptCount val="5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lvl>
              </c:multiLvlStrCache>
            </c:multiLvlStrRef>
          </c:cat>
          <c:val>
            <c:numRef>
              <c:f>SUMMARY!$BH$43:$BH$95</c:f>
              <c:numCache>
                <c:formatCode>"$"#,##0</c:formatCode>
                <c:ptCount val="53"/>
                <c:pt idx="0">
                  <c:v>109.0601833311037</c:v>
                </c:pt>
                <c:pt idx="1">
                  <c:v>99.240449074941608</c:v>
                </c:pt>
                <c:pt idx="2">
                  <c:v>101.48096887821208</c:v>
                </c:pt>
                <c:pt idx="3">
                  <c:v>122.77531596720763</c:v>
                </c:pt>
                <c:pt idx="4">
                  <c:v>199.86763473738299</c:v>
                </c:pt>
              </c:numCache>
            </c:numRef>
          </c:val>
        </c:ser>
        <c:ser>
          <c:idx val="8"/>
          <c:order val="8"/>
          <c:tx>
            <c:strRef>
              <c:f>SUMMARY!$BI$42</c:f>
              <c:strCache>
                <c:ptCount val="1"/>
                <c:pt idx="0">
                  <c:v>PM2.5</c:v>
                </c:pt>
              </c:strCache>
            </c:strRef>
          </c:tx>
          <c:spPr>
            <a:solidFill>
              <a:schemeClr val="accent4">
                <a:lumMod val="75000"/>
              </a:schemeClr>
            </a:solidFill>
          </c:spPr>
          <c:cat>
            <c:multiLvlStrRef>
              <c:f>SUMMARY!$AY$43:$AZ$95</c:f>
              <c:multiLvlStrCache>
                <c:ptCount val="5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lvl>
              </c:multiLvlStrCache>
            </c:multiLvlStrRef>
          </c:cat>
          <c:val>
            <c:numRef>
              <c:f>SUMMARY!$BI$43:$BI$95</c:f>
              <c:numCache>
                <c:formatCode>"$"#,##0</c:formatCode>
                <c:ptCount val="53"/>
                <c:pt idx="0">
                  <c:v>327.17935195742109</c:v>
                </c:pt>
                <c:pt idx="1">
                  <c:v>296.12031154674804</c:v>
                </c:pt>
                <c:pt idx="2">
                  <c:v>291.66818921652788</c:v>
                </c:pt>
                <c:pt idx="3">
                  <c:v>333.46407461874128</c:v>
                </c:pt>
                <c:pt idx="4">
                  <c:v>475.91261374108592</c:v>
                </c:pt>
              </c:numCache>
            </c:numRef>
          </c:val>
        </c:ser>
        <c:ser>
          <c:idx val="9"/>
          <c:order val="9"/>
          <c:tx>
            <c:strRef>
              <c:f>SUMMARY!$BJ$42</c:f>
              <c:strCache>
                <c:ptCount val="1"/>
                <c:pt idx="0">
                  <c:v>SO2</c:v>
                </c:pt>
              </c:strCache>
            </c:strRef>
          </c:tx>
          <c:spPr>
            <a:solidFill>
              <a:srgbClr val="CCCC00"/>
            </a:solidFill>
          </c:spPr>
          <c:cat>
            <c:multiLvlStrRef>
              <c:f>SUMMARY!$AY$43:$AZ$95</c:f>
              <c:multiLvlStrCache>
                <c:ptCount val="5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lvl>
              </c:multiLvlStrCache>
            </c:multiLvlStrRef>
          </c:cat>
          <c:val>
            <c:numRef>
              <c:f>SUMMARY!$BJ$43:$BJ$95</c:f>
              <c:numCache>
                <c:formatCode>"$"#,##0</c:formatCode>
                <c:ptCount val="53"/>
                <c:pt idx="0">
                  <c:v>412.88420411262837</c:v>
                </c:pt>
                <c:pt idx="1">
                  <c:v>485.95540241708989</c:v>
                </c:pt>
                <c:pt idx="2">
                  <c:v>556.99015577880436</c:v>
                </c:pt>
                <c:pt idx="3">
                  <c:v>895.9992717436171</c:v>
                </c:pt>
                <c:pt idx="4">
                  <c:v>1938.8143695072956</c:v>
                </c:pt>
              </c:numCache>
            </c:numRef>
          </c:val>
        </c:ser>
        <c:ser>
          <c:idx val="10"/>
          <c:order val="10"/>
          <c:tx>
            <c:strRef>
              <c:f>SUMMARY!$BK$42</c:f>
              <c:strCache>
                <c:ptCount val="1"/>
                <c:pt idx="0">
                  <c:v>VOC</c:v>
                </c:pt>
              </c:strCache>
            </c:strRef>
          </c:tx>
          <c:spPr>
            <a:solidFill>
              <a:schemeClr val="accent5">
                <a:lumMod val="40000"/>
                <a:lumOff val="60000"/>
              </a:schemeClr>
            </a:solidFill>
          </c:spPr>
          <c:cat>
            <c:multiLvlStrRef>
              <c:f>SUMMARY!$AY$43:$AZ$95</c:f>
              <c:multiLvlStrCache>
                <c:ptCount val="5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lvl>
              </c:multiLvlStrCache>
            </c:multiLvlStrRef>
          </c:cat>
          <c:val>
            <c:numRef>
              <c:f>SUMMARY!$BK$43:$BK$95</c:f>
              <c:numCache>
                <c:formatCode>"$"#,##0</c:formatCode>
                <c:ptCount val="53"/>
                <c:pt idx="0">
                  <c:v>227.045243863363</c:v>
                </c:pt>
                <c:pt idx="1">
                  <c:v>183.48724632642646</c:v>
                </c:pt>
                <c:pt idx="2">
                  <c:v>157.06115570665324</c:v>
                </c:pt>
                <c:pt idx="3">
                  <c:v>141.14460618054966</c:v>
                </c:pt>
                <c:pt idx="4">
                  <c:v>82.475839194839338</c:v>
                </c:pt>
              </c:numCache>
            </c:numRef>
          </c:val>
        </c:ser>
        <c:ser>
          <c:idx val="11"/>
          <c:order val="11"/>
          <c:tx>
            <c:strRef>
              <c:f>SUMMARY!$BL$42</c:f>
              <c:strCache>
                <c:ptCount val="1"/>
                <c:pt idx="0">
                  <c:v>Disruption</c:v>
                </c:pt>
              </c:strCache>
            </c:strRef>
          </c:tx>
          <c:spPr>
            <a:solidFill>
              <a:schemeClr val="tx1">
                <a:lumMod val="75000"/>
                <a:lumOff val="25000"/>
              </a:schemeClr>
            </a:solidFill>
          </c:spPr>
          <c:cat>
            <c:multiLvlStrRef>
              <c:f>SUMMARY!$AY$43:$AZ$95</c:f>
              <c:multiLvlStrCache>
                <c:ptCount val="5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lvl>
              </c:multiLvlStrCache>
            </c:multiLvlStrRef>
          </c:cat>
          <c:val>
            <c:numRef>
              <c:f>SUMMARY!$BL$43:$BL$95</c:f>
              <c:numCache>
                <c:formatCode>"$"#,##0</c:formatCode>
                <c:ptCount val="53"/>
                <c:pt idx="0">
                  <c:v>335.04288137349306</c:v>
                </c:pt>
                <c:pt idx="1">
                  <c:v>239.31634383820932</c:v>
                </c:pt>
                <c:pt idx="2">
                  <c:v>194.46127091397832</c:v>
                </c:pt>
                <c:pt idx="3">
                  <c:v>168.42228059307067</c:v>
                </c:pt>
                <c:pt idx="4">
                  <c:v>0</c:v>
                </c:pt>
              </c:numCache>
            </c:numRef>
          </c:val>
        </c:ser>
        <c:ser>
          <c:idx val="12"/>
          <c:order val="12"/>
          <c:tx>
            <c:strRef>
              <c:f>SUMMARY!$BM$42</c:f>
              <c:strCache>
                <c:ptCount val="1"/>
                <c:pt idx="0">
                  <c:v>Monopsony</c:v>
                </c:pt>
              </c:strCache>
            </c:strRef>
          </c:tx>
          <c:spPr>
            <a:solidFill>
              <a:schemeClr val="tx1">
                <a:lumMod val="50000"/>
                <a:lumOff val="50000"/>
              </a:schemeClr>
            </a:solidFill>
          </c:spPr>
          <c:cat>
            <c:multiLvlStrRef>
              <c:f>SUMMARY!$AY$43:$AZ$95</c:f>
              <c:multiLvlStrCache>
                <c:ptCount val="5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lvl>
              </c:multiLvlStrCache>
            </c:multiLvlStrRef>
          </c:cat>
          <c:val>
            <c:numRef>
              <c:f>SUMMARY!$BM$43:$BM$95</c:f>
              <c:numCache>
                <c:formatCode>"$"#,##0</c:formatCode>
                <c:ptCount val="53"/>
                <c:pt idx="0">
                  <c:v>829.22473140215186</c:v>
                </c:pt>
                <c:pt idx="1">
                  <c:v>592.3033795729657</c:v>
                </c:pt>
                <c:pt idx="2">
                  <c:v>481.28793090818442</c:v>
                </c:pt>
                <c:pt idx="3">
                  <c:v>416.84192726136246</c:v>
                </c:pt>
                <c:pt idx="4">
                  <c:v>0</c:v>
                </c:pt>
              </c:numCache>
            </c:numRef>
          </c:val>
        </c:ser>
        <c:ser>
          <c:idx val="13"/>
          <c:order val="13"/>
          <c:tx>
            <c:strRef>
              <c:f>SUMMARY!$BN$42</c:f>
              <c:strCache>
                <c:ptCount val="1"/>
                <c:pt idx="0">
                  <c:v>Military</c:v>
                </c:pt>
              </c:strCache>
            </c:strRef>
          </c:tx>
          <c:spPr>
            <a:solidFill>
              <a:schemeClr val="bg1">
                <a:lumMod val="75000"/>
              </a:schemeClr>
            </a:solidFill>
          </c:spPr>
          <c:cat>
            <c:multiLvlStrRef>
              <c:f>SUMMARY!$AY$43:$AZ$95</c:f>
              <c:multiLvlStrCache>
                <c:ptCount val="5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lvl>
              </c:multiLvlStrCache>
            </c:multiLvlStrRef>
          </c:cat>
          <c:val>
            <c:numRef>
              <c:f>SUMMARY!$BN$43:$BN$95</c:f>
              <c:numCache>
                <c:formatCode>"$"#,##0</c:formatCode>
                <c:ptCount val="53"/>
                <c:pt idx="0">
                  <c:v>119.9726900992793</c:v>
                </c:pt>
                <c:pt idx="1">
                  <c:v>85.694778642342385</c:v>
                </c:pt>
                <c:pt idx="2">
                  <c:v>69.633002486231831</c:v>
                </c:pt>
                <c:pt idx="3">
                  <c:v>60.308919242135367</c:v>
                </c:pt>
                <c:pt idx="4">
                  <c:v>0</c:v>
                </c:pt>
              </c:numCache>
            </c:numRef>
          </c:val>
        </c:ser>
        <c:gapWidth val="25"/>
        <c:overlap val="100"/>
        <c:axId val="137945856"/>
        <c:axId val="137947392"/>
      </c:barChart>
      <c:lineChart>
        <c:grouping val="standard"/>
        <c:ser>
          <c:idx val="1"/>
          <c:order val="1"/>
          <c:tx>
            <c:strRef>
              <c:f>SUMMARY!$BB$42</c:f>
              <c:strCache>
                <c:ptCount val="1"/>
                <c:pt idx="0">
                  <c:v>Low Case</c:v>
                </c:pt>
              </c:strCache>
            </c:strRef>
          </c:tx>
          <c:spPr>
            <a:ln w="12700">
              <a:prstDash val="sysDot"/>
            </a:ln>
          </c:spPr>
          <c:marker>
            <c:symbol val="none"/>
          </c:marker>
          <c:cat>
            <c:multiLvlStrRef>
              <c:f>SUMMARY!$AY$43:$AZ$95</c:f>
              <c:multiLvlStrCache>
                <c:ptCount val="5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lvl>
              </c:multiLvlStrCache>
            </c:multiLvlStrRef>
          </c:cat>
          <c:val>
            <c:numRef>
              <c:f>SUMMARY!$BB$43:$BB$95</c:f>
              <c:numCache>
                <c:formatCode>"$"#,##0</c:formatCode>
                <c:ptCount val="53"/>
                <c:pt idx="6">
                  <c:v>4801.5346124455709</c:v>
                </c:pt>
                <c:pt idx="7">
                  <c:v>3910.2272578777161</c:v>
                </c:pt>
                <c:pt idx="8">
                  <c:v>3370.0383139340011</c:v>
                </c:pt>
                <c:pt idx="9">
                  <c:v>3373.8760335020688</c:v>
                </c:pt>
                <c:pt idx="10">
                  <c:v>2905.4301141452202</c:v>
                </c:pt>
                <c:pt idx="12">
                  <c:v>4801.5346124455709</c:v>
                </c:pt>
                <c:pt idx="13">
                  <c:v>3910.2272578777161</c:v>
                </c:pt>
                <c:pt idx="14">
                  <c:v>3632.7889258841947</c:v>
                </c:pt>
                <c:pt idx="15">
                  <c:v>4145.8901532997616</c:v>
                </c:pt>
                <c:pt idx="16">
                  <c:v>4667.4752102121438</c:v>
                </c:pt>
                <c:pt idx="18">
                  <c:v>4614.9106552413714</c:v>
                </c:pt>
                <c:pt idx="19">
                  <c:v>3776.9244313032887</c:v>
                </c:pt>
                <c:pt idx="20">
                  <c:v>3524.4710539982125</c:v>
                </c:pt>
                <c:pt idx="21">
                  <c:v>4052.0763932318496</c:v>
                </c:pt>
                <c:pt idx="22">
                  <c:v>4667.4752102121438</c:v>
                </c:pt>
                <c:pt idx="24">
                  <c:v>4731.3169783034009</c:v>
                </c:pt>
                <c:pt idx="25">
                  <c:v>3860.0718049190232</c:v>
                </c:pt>
                <c:pt idx="26">
                  <c:v>3592.0341116947907</c:v>
                </c:pt>
                <c:pt idx="27">
                  <c:v>4110.5925399566786</c:v>
                </c:pt>
                <c:pt idx="28">
                  <c:v>4667.4752102121438</c:v>
                </c:pt>
                <c:pt idx="30">
                  <c:v>4783.1986796665196</c:v>
                </c:pt>
                <c:pt idx="31">
                  <c:v>3897.1301630355374</c:v>
                </c:pt>
                <c:pt idx="32">
                  <c:v>3622.1466201083176</c:v>
                </c:pt>
                <c:pt idx="33">
                  <c:v>4136.6728865344185</c:v>
                </c:pt>
                <c:pt idx="34">
                  <c:v>4667.4752102121438</c:v>
                </c:pt>
                <c:pt idx="36">
                  <c:v>4735.7420375995507</c:v>
                </c:pt>
                <c:pt idx="37">
                  <c:v>3841.2389513591493</c:v>
                </c:pt>
                <c:pt idx="38">
                  <c:v>3566.7166113847375</c:v>
                </c:pt>
                <c:pt idx="39">
                  <c:v>4054.9047508933268</c:v>
                </c:pt>
                <c:pt idx="40">
                  <c:v>4465.8013809360737</c:v>
                </c:pt>
                <c:pt idx="42">
                  <c:v>4346.5847286131839</c:v>
                </c:pt>
                <c:pt idx="43">
                  <c:v>3385.4386111494719</c:v>
                </c:pt>
                <c:pt idx="44">
                  <c:v>3101.6991904717188</c:v>
                </c:pt>
                <c:pt idx="45">
                  <c:v>3446.9939237598987</c:v>
                </c:pt>
                <c:pt idx="46">
                  <c:v>3223.0175744418361</c:v>
                </c:pt>
                <c:pt idx="48">
                  <c:v>4565.9505803366592</c:v>
                </c:pt>
                <c:pt idx="49">
                  <c:v>3652.928316409148</c:v>
                </c:pt>
                <c:pt idx="50">
                  <c:v>3355.4561812272536</c:v>
                </c:pt>
                <c:pt idx="51">
                  <c:v>3686.2939163660576</c:v>
                </c:pt>
                <c:pt idx="52">
                  <c:v>3492.6421570654597</c:v>
                </c:pt>
              </c:numCache>
            </c:numRef>
          </c:val>
        </c:ser>
        <c:ser>
          <c:idx val="2"/>
          <c:order val="2"/>
          <c:tx>
            <c:strRef>
              <c:f>SUMMARY!$BC$42</c:f>
              <c:strCache>
                <c:ptCount val="1"/>
                <c:pt idx="0">
                  <c:v>High Case</c:v>
                </c:pt>
              </c:strCache>
            </c:strRef>
          </c:tx>
          <c:spPr>
            <a:ln w="12700">
              <a:solidFill>
                <a:schemeClr val="tx2"/>
              </a:solidFill>
              <a:prstDash val="sysDot"/>
            </a:ln>
          </c:spPr>
          <c:marker>
            <c:symbol val="none"/>
          </c:marker>
          <c:cat>
            <c:multiLvlStrRef>
              <c:f>SUMMARY!$AY$43:$AZ$95</c:f>
              <c:multiLvlStrCache>
                <c:ptCount val="53"/>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pt idx="18">
                    <c:v>CV</c:v>
                  </c:pt>
                  <c:pt idx="19">
                    <c:v>HEV</c:v>
                  </c:pt>
                  <c:pt idx="20">
                    <c:v>PHEV20</c:v>
                  </c:pt>
                  <c:pt idx="21">
                    <c:v>PHEV60</c:v>
                  </c:pt>
                  <c:pt idx="22">
                    <c:v>BEV240</c:v>
                  </c:pt>
                  <c:pt idx="24">
                    <c:v>CV</c:v>
                  </c:pt>
                  <c:pt idx="25">
                    <c:v>HEV</c:v>
                  </c:pt>
                  <c:pt idx="26">
                    <c:v>PHEV20</c:v>
                  </c:pt>
                  <c:pt idx="27">
                    <c:v>PHEV60</c:v>
                  </c:pt>
                  <c:pt idx="28">
                    <c:v>BEV240</c:v>
                  </c:pt>
                  <c:pt idx="30">
                    <c:v>CV</c:v>
                  </c:pt>
                  <c:pt idx="31">
                    <c:v>HEV</c:v>
                  </c:pt>
                  <c:pt idx="32">
                    <c:v>PHEV20</c:v>
                  </c:pt>
                  <c:pt idx="33">
                    <c:v>PHEV60</c:v>
                  </c:pt>
                  <c:pt idx="34">
                    <c:v>BEV240</c:v>
                  </c:pt>
                  <c:pt idx="36">
                    <c:v>CV</c:v>
                  </c:pt>
                  <c:pt idx="37">
                    <c:v>HEV</c:v>
                  </c:pt>
                  <c:pt idx="38">
                    <c:v>PHEV20</c:v>
                  </c:pt>
                  <c:pt idx="39">
                    <c:v>PHEV60</c:v>
                  </c:pt>
                  <c:pt idx="40">
                    <c:v>BEV240</c:v>
                  </c:pt>
                  <c:pt idx="42">
                    <c:v>CV</c:v>
                  </c:pt>
                  <c:pt idx="43">
                    <c:v>HEV</c:v>
                  </c:pt>
                  <c:pt idx="44">
                    <c:v>PHEV20</c:v>
                  </c:pt>
                  <c:pt idx="45">
                    <c:v>PHEV60</c:v>
                  </c:pt>
                  <c:pt idx="46">
                    <c:v>BEV240</c:v>
                  </c:pt>
                  <c:pt idx="48">
                    <c:v>CV</c:v>
                  </c:pt>
                  <c:pt idx="49">
                    <c:v>HEV</c:v>
                  </c:pt>
                  <c:pt idx="50">
                    <c:v>PHEV20</c:v>
                  </c:pt>
                  <c:pt idx="51">
                    <c:v>PHEV60</c:v>
                  </c:pt>
                  <c:pt idx="52">
                    <c:v>BEV240</c:v>
                  </c:pt>
                </c:lvl>
                <c:lvl>
                  <c:pt idx="0">
                    <c:v>Base
Case </c:v>
                  </c:pt>
                  <c:pt idx="5">
                    <c:v> </c:v>
                  </c:pt>
                  <c:pt idx="6">
                    <c:v>Grid Mix
Cases</c:v>
                  </c:pt>
                  <c:pt idx="11">
                    <c:v> </c:v>
                  </c:pt>
                  <c:pt idx="12">
                    <c:v>Electricity 
Upstream Cases</c:v>
                  </c:pt>
                  <c:pt idx="17">
                    <c:v> </c:v>
                  </c:pt>
                  <c:pt idx="18">
                    <c:v>Oil Refining
Cases</c:v>
                  </c:pt>
                  <c:pt idx="23">
                    <c:v> </c:v>
                  </c:pt>
                  <c:pt idx="24">
                    <c:v>Oil Upstream
Cases</c:v>
                  </c:pt>
                  <c:pt idx="29">
                    <c:v> </c:v>
                  </c:pt>
                  <c:pt idx="30">
                    <c:v>Oil Sources
Cases</c:v>
                  </c:pt>
                  <c:pt idx="35">
                    <c:v> </c:v>
                  </c:pt>
                  <c:pt idx="36">
                    <c:v>Assembly
Cases</c:v>
                  </c:pt>
                  <c:pt idx="41">
                    <c:v> </c:v>
                  </c:pt>
                  <c:pt idx="42">
                    <c:v>Manufacturing
Upstream Cases</c:v>
                  </c:pt>
                  <c:pt idx="47">
                    <c:v> </c:v>
                  </c:pt>
                  <c:pt idx="48">
                    <c:v>Manufacturing
Electricity Cases</c:v>
                  </c:pt>
                </c:lvl>
              </c:multiLvlStrCache>
            </c:multiLvlStrRef>
          </c:cat>
          <c:val>
            <c:numRef>
              <c:f>SUMMARY!$BC$43:$BC$95</c:f>
              <c:numCache>
                <c:formatCode>"$"#,##0</c:formatCode>
                <c:ptCount val="53"/>
                <c:pt idx="6">
                  <c:v>4801.5346124455709</c:v>
                </c:pt>
                <c:pt idx="7">
                  <c:v>3910.2272578777161</c:v>
                </c:pt>
                <c:pt idx="8">
                  <c:v>4087.298104563889</c:v>
                </c:pt>
                <c:pt idx="9">
                  <c:v>5481.3294921999168</c:v>
                </c:pt>
                <c:pt idx="10">
                  <c:v>7715.4820767452402</c:v>
                </c:pt>
                <c:pt idx="12">
                  <c:v>4801.5346124455709</c:v>
                </c:pt>
                <c:pt idx="13">
                  <c:v>3910.2272578777161</c:v>
                </c:pt>
                <c:pt idx="14">
                  <c:v>3632.5115474197278</c:v>
                </c:pt>
                <c:pt idx="15">
                  <c:v>4145.0751596085702</c:v>
                </c:pt>
                <c:pt idx="16">
                  <c:v>4665.6150685384846</c:v>
                </c:pt>
                <c:pt idx="18">
                  <c:v>5909.9276043831615</c:v>
                </c:pt>
                <c:pt idx="19">
                  <c:v>4701.9365378331386</c:v>
                </c:pt>
                <c:pt idx="20">
                  <c:v>4276.1081004350353</c:v>
                </c:pt>
                <c:pt idx="21">
                  <c:v>4703.0668189558955</c:v>
                </c:pt>
                <c:pt idx="22">
                  <c:v>4667.4752102121438</c:v>
                </c:pt>
                <c:pt idx="24">
                  <c:v>4919.7581646215976</c:v>
                </c:pt>
                <c:pt idx="25">
                  <c:v>3994.672652289164</c:v>
                </c:pt>
                <c:pt idx="26">
                  <c:v>3701.4067162812603</c:v>
                </c:pt>
                <c:pt idx="27">
                  <c:v>4205.3198006203502</c:v>
                </c:pt>
                <c:pt idx="28">
                  <c:v>4667.4752102121438</c:v>
                </c:pt>
                <c:pt idx="30">
                  <c:v>4977.786626849911</c:v>
                </c:pt>
                <c:pt idx="31">
                  <c:v>4036.1215538808169</c:v>
                </c:pt>
                <c:pt idx="32">
                  <c:v>3735.086848411936</c:v>
                </c:pt>
                <c:pt idx="33">
                  <c:v>4234.4900546121271</c:v>
                </c:pt>
                <c:pt idx="34">
                  <c:v>4667.4752102121438</c:v>
                </c:pt>
                <c:pt idx="36">
                  <c:v>4849.9331941142846</c:v>
                </c:pt>
                <c:pt idx="37">
                  <c:v>3960.7441982278629</c:v>
                </c:pt>
                <c:pt idx="38">
                  <c:v>3681.3729389295454</c:v>
                </c:pt>
                <c:pt idx="39">
                  <c:v>4210.9883363245262</c:v>
                </c:pt>
                <c:pt idx="40">
                  <c:v>4805.9455702590512</c:v>
                </c:pt>
                <c:pt idx="42">
                  <c:v>5057.6707581554147</c:v>
                </c:pt>
                <c:pt idx="43">
                  <c:v>4229.8424219808803</c:v>
                </c:pt>
                <c:pt idx="44">
                  <c:v>3911.5632896359066</c:v>
                </c:pt>
                <c:pt idx="45">
                  <c:v>4505.912524457849</c:v>
                </c:pt>
                <c:pt idx="46">
                  <c:v>5388.4810997395098</c:v>
                </c:pt>
                <c:pt idx="48">
                  <c:v>4966.0884432687744</c:v>
                </c:pt>
                <c:pt idx="49">
                  <c:v>4090.019144707901</c:v>
                </c:pt>
                <c:pt idx="50">
                  <c:v>3826.637975179543</c:v>
                </c:pt>
                <c:pt idx="51">
                  <c:v>4467.6323203781467</c:v>
                </c:pt>
                <c:pt idx="52">
                  <c:v>5501.812417201013</c:v>
                </c:pt>
              </c:numCache>
            </c:numRef>
          </c:val>
        </c:ser>
        <c:marker val="1"/>
        <c:axId val="137945856"/>
        <c:axId val="137947392"/>
      </c:lineChart>
      <c:catAx>
        <c:axId val="137945856"/>
        <c:scaling>
          <c:orientation val="minMax"/>
        </c:scaling>
        <c:axPos val="b"/>
        <c:majorTickMark val="none"/>
        <c:tickLblPos val="nextTo"/>
        <c:crossAx val="137947392"/>
        <c:crosses val="autoZero"/>
        <c:auto val="1"/>
        <c:lblAlgn val="ctr"/>
        <c:lblOffset val="100"/>
      </c:catAx>
      <c:valAx>
        <c:axId val="137947392"/>
        <c:scaling>
          <c:orientation val="minMax"/>
          <c:max val="10000"/>
        </c:scaling>
        <c:axPos val="l"/>
        <c:majorGridlines/>
        <c:numFmt formatCode="&quot;$&quot;#,##0" sourceLinked="1"/>
        <c:tickLblPos val="nextTo"/>
        <c:crossAx val="137945856"/>
        <c:crosses val="autoZero"/>
        <c:crossBetween val="between"/>
        <c:majorUnit val="2000"/>
      </c:valAx>
    </c:plotArea>
    <c:plotVisOnly val="1"/>
    <c:dispBlanksAs val="gap"/>
  </c:chart>
  <c:spPr>
    <a:ln>
      <a:noFill/>
    </a:ln>
  </c:spPr>
  <c:printSettings>
    <c:headerFooter/>
    <c:pageMargins b="0.75000000000000866" l="0.70000000000000062" r="0.70000000000000062" t="0.7500000000000086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a:pPr>
            <a:r>
              <a:rPr lang="en-US" sz="1200"/>
              <a:t>Life Cycle Emissions Externalities and Oil Premium</a:t>
            </a:r>
          </a:p>
        </c:rich>
      </c:tx>
      <c:layout/>
    </c:title>
    <c:view3D>
      <c:rAngAx val="1"/>
    </c:view3D>
    <c:plotArea>
      <c:layout>
        <c:manualLayout>
          <c:layoutTarget val="inner"/>
          <c:xMode val="edge"/>
          <c:yMode val="edge"/>
          <c:x val="0.12642278741938021"/>
          <c:y val="0.15805140253429709"/>
          <c:w val="0.67647858157968377"/>
          <c:h val="0.46273587143679629"/>
        </c:manualLayout>
      </c:layout>
      <c:bar3DChart>
        <c:barDir val="col"/>
        <c:grouping val="stacked"/>
        <c:ser>
          <c:idx val="0"/>
          <c:order val="0"/>
          <c:tx>
            <c:strRef>
              <c:f>FIGURES!$D$5</c:f>
              <c:strCache>
                <c:ptCount val="1"/>
                <c:pt idx="0">
                  <c:v>GHGs</c:v>
                </c:pt>
              </c:strCache>
            </c:strRef>
          </c:tx>
          <c:spPr>
            <a:solidFill>
              <a:srgbClr val="336600"/>
            </a:solidFill>
          </c:spPr>
          <c:cat>
            <c:multiLvlStrRef>
              <c:f>FIGURES!$B$6:$C$22</c:f>
              <c:multiLvlStrCache>
                <c:ptCount val="1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lvl>
                <c:lvl>
                  <c:pt idx="0">
                    <c:v>BASE CASE
U.S. Avg. 
Grid Mix</c:v>
                  </c:pt>
                  <c:pt idx="5">
                    <c:v> </c:v>
                  </c:pt>
                  <c:pt idx="6">
                    <c:v>OPTIMISTIC
Zero-Emission
Power Plant</c:v>
                  </c:pt>
                  <c:pt idx="11">
                    <c:v> </c:v>
                  </c:pt>
                  <c:pt idx="12">
                    <c:v>PESSIMISTIC
Coal Fired
Power Plant</c:v>
                  </c:pt>
                </c:lvl>
              </c:multiLvlStrCache>
            </c:multiLvlStrRef>
          </c:cat>
          <c:val>
            <c:numRef>
              <c:f>FIGURES!$D$6:$D$22</c:f>
              <c:numCache>
                <c:formatCode>"$"#,##0</c:formatCode>
                <c:ptCount val="17"/>
                <c:pt idx="0">
                  <c:v>2024.7409595581712</c:v>
                </c:pt>
                <c:pt idx="1">
                  <c:v>1533.4235892112956</c:v>
                </c:pt>
                <c:pt idx="2">
                  <c:v>1470.9903780410214</c:v>
                </c:pt>
                <c:pt idx="3">
                  <c:v>1733.929370510444</c:v>
                </c:pt>
                <c:pt idx="4">
                  <c:v>1823.8017153265005</c:v>
                </c:pt>
                <c:pt idx="6">
                  <c:v>2024.7409595581712</c:v>
                </c:pt>
                <c:pt idx="7">
                  <c:v>1533.4235892112956</c:v>
                </c:pt>
                <c:pt idx="8">
                  <c:v>1321.6686505989951</c:v>
                </c:pt>
                <c:pt idx="9">
                  <c:v>1295.192116495298</c:v>
                </c:pt>
                <c:pt idx="10">
                  <c:v>822.42776752637315</c:v>
                </c:pt>
                <c:pt idx="12">
                  <c:v>2024.7409595581712</c:v>
                </c:pt>
                <c:pt idx="13">
                  <c:v>1552.2289128208483</c:v>
                </c:pt>
                <c:pt idx="14">
                  <c:v>1583.9929048200206</c:v>
                </c:pt>
                <c:pt idx="15">
                  <c:v>2079.5877868097587</c:v>
                </c:pt>
                <c:pt idx="16">
                  <c:v>2760.3715573235554</c:v>
                </c:pt>
              </c:numCache>
            </c:numRef>
          </c:val>
        </c:ser>
        <c:ser>
          <c:idx val="1"/>
          <c:order val="1"/>
          <c:tx>
            <c:strRef>
              <c:f>FIGURES!$E$5</c:f>
              <c:strCache>
                <c:ptCount val="1"/>
                <c:pt idx="0">
                  <c:v>CO</c:v>
                </c:pt>
              </c:strCache>
            </c:strRef>
          </c:tx>
          <c:cat>
            <c:multiLvlStrRef>
              <c:f>FIGURES!$B$6:$C$22</c:f>
              <c:multiLvlStrCache>
                <c:ptCount val="1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lvl>
                <c:lvl>
                  <c:pt idx="0">
                    <c:v>BASE CASE
U.S. Avg. 
Grid Mix</c:v>
                  </c:pt>
                  <c:pt idx="5">
                    <c:v> </c:v>
                  </c:pt>
                  <c:pt idx="6">
                    <c:v>OPTIMISTIC
Zero-Emission
Power Plant</c:v>
                  </c:pt>
                  <c:pt idx="11">
                    <c:v> </c:v>
                  </c:pt>
                  <c:pt idx="12">
                    <c:v>PESSIMISTIC
Coal Fired
Power Plant</c:v>
                  </c:pt>
                </c:lvl>
              </c:multiLvlStrCache>
            </c:multiLvlStrRef>
          </c:cat>
          <c:val>
            <c:numRef>
              <c:f>FIGURES!$E$6:$E$22</c:f>
              <c:numCache>
                <c:formatCode>"$"#,##0</c:formatCode>
                <c:ptCount val="17"/>
                <c:pt idx="0">
                  <c:v>312.25271204328538</c:v>
                </c:pt>
                <c:pt idx="1">
                  <c:v>309.62966328679141</c:v>
                </c:pt>
                <c:pt idx="2">
                  <c:v>226.57131861625834</c:v>
                </c:pt>
                <c:pt idx="3">
                  <c:v>173.83427687643018</c:v>
                </c:pt>
                <c:pt idx="4">
                  <c:v>17.869358676122928</c:v>
                </c:pt>
                <c:pt idx="6">
                  <c:v>312.25271204328538</c:v>
                </c:pt>
                <c:pt idx="7">
                  <c:v>309.62966328679141</c:v>
                </c:pt>
                <c:pt idx="8">
                  <c:v>226.56521619443811</c:v>
                </c:pt>
                <c:pt idx="9">
                  <c:v>173.81634673432617</c:v>
                </c:pt>
                <c:pt idx="10">
                  <c:v>17.82843491818128</c:v>
                </c:pt>
                <c:pt idx="12">
                  <c:v>312.25271204328538</c:v>
                </c:pt>
                <c:pt idx="13">
                  <c:v>309.78333173015068</c:v>
                </c:pt>
                <c:pt idx="14">
                  <c:v>226.65575061431062</c:v>
                </c:pt>
                <c:pt idx="15">
                  <c:v>174.12353130123657</c:v>
                </c:pt>
                <c:pt idx="16">
                  <c:v>19.065408493154514</c:v>
                </c:pt>
              </c:numCache>
            </c:numRef>
          </c:val>
        </c:ser>
        <c:ser>
          <c:idx val="2"/>
          <c:order val="2"/>
          <c:tx>
            <c:strRef>
              <c:f>FIGURES!$F$5</c:f>
              <c:strCache>
                <c:ptCount val="1"/>
                <c:pt idx="0">
                  <c:v>NH3</c:v>
                </c:pt>
              </c:strCache>
            </c:strRef>
          </c:tx>
          <c:spPr>
            <a:solidFill>
              <a:srgbClr val="0070C0"/>
            </a:solidFill>
          </c:spPr>
          <c:cat>
            <c:multiLvlStrRef>
              <c:f>FIGURES!$B$6:$C$22</c:f>
              <c:multiLvlStrCache>
                <c:ptCount val="1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lvl>
                <c:lvl>
                  <c:pt idx="0">
                    <c:v>BASE CASE
U.S. Avg. 
Grid Mix</c:v>
                  </c:pt>
                  <c:pt idx="5">
                    <c:v> </c:v>
                  </c:pt>
                  <c:pt idx="6">
                    <c:v>OPTIMISTIC
Zero-Emission
Power Plant</c:v>
                  </c:pt>
                  <c:pt idx="11">
                    <c:v> </c:v>
                  </c:pt>
                  <c:pt idx="12">
                    <c:v>PESSIMISTIC
Coal Fired
Power Plant</c:v>
                  </c:pt>
                </c:lvl>
              </c:multiLvlStrCache>
            </c:multiLvlStrRef>
          </c:cat>
          <c:val>
            <c:numRef>
              <c:f>FIGURES!$F$6:$F$22</c:f>
              <c:numCache>
                <c:formatCode>"$"#,##0</c:formatCode>
                <c:ptCount val="17"/>
                <c:pt idx="0">
                  <c:v>0</c:v>
                </c:pt>
                <c:pt idx="1">
                  <c:v>0</c:v>
                </c:pt>
                <c:pt idx="2">
                  <c:v>0</c:v>
                </c:pt>
                <c:pt idx="3">
                  <c:v>0</c:v>
                </c:pt>
                <c:pt idx="4">
                  <c:v>0</c:v>
                </c:pt>
                <c:pt idx="6">
                  <c:v>0</c:v>
                </c:pt>
                <c:pt idx="7">
                  <c:v>0</c:v>
                </c:pt>
                <c:pt idx="8">
                  <c:v>0</c:v>
                </c:pt>
                <c:pt idx="9">
                  <c:v>0</c:v>
                </c:pt>
                <c:pt idx="10">
                  <c:v>0</c:v>
                </c:pt>
                <c:pt idx="12">
                  <c:v>0</c:v>
                </c:pt>
                <c:pt idx="13">
                  <c:v>0</c:v>
                </c:pt>
                <c:pt idx="14">
                  <c:v>0</c:v>
                </c:pt>
                <c:pt idx="15">
                  <c:v>0</c:v>
                </c:pt>
                <c:pt idx="16">
                  <c:v>0</c:v>
                </c:pt>
              </c:numCache>
            </c:numRef>
          </c:val>
        </c:ser>
        <c:ser>
          <c:idx val="3"/>
          <c:order val="3"/>
          <c:tx>
            <c:strRef>
              <c:f>FIGURES!$G$5</c:f>
              <c:strCache>
                <c:ptCount val="1"/>
                <c:pt idx="0">
                  <c:v>NOx</c:v>
                </c:pt>
              </c:strCache>
            </c:strRef>
          </c:tx>
          <c:spPr>
            <a:solidFill>
              <a:schemeClr val="accent6"/>
            </a:solidFill>
          </c:spPr>
          <c:cat>
            <c:multiLvlStrRef>
              <c:f>FIGURES!$B$6:$C$22</c:f>
              <c:multiLvlStrCache>
                <c:ptCount val="1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lvl>
                <c:lvl>
                  <c:pt idx="0">
                    <c:v>BASE CASE
U.S. Avg. 
Grid Mix</c:v>
                  </c:pt>
                  <c:pt idx="5">
                    <c:v> </c:v>
                  </c:pt>
                  <c:pt idx="6">
                    <c:v>OPTIMISTIC
Zero-Emission
Power Plant</c:v>
                  </c:pt>
                  <c:pt idx="11">
                    <c:v> </c:v>
                  </c:pt>
                  <c:pt idx="12">
                    <c:v>PESSIMISTIC
Coal Fired
Power Plant</c:v>
                  </c:pt>
                </c:lvl>
              </c:multiLvlStrCache>
            </c:multiLvlStrRef>
          </c:cat>
          <c:val>
            <c:numRef>
              <c:f>FIGURES!$G$6:$G$22</c:f>
              <c:numCache>
                <c:formatCode>"$"#,##0</c:formatCode>
                <c:ptCount val="17"/>
                <c:pt idx="0">
                  <c:v>104.13165470467408</c:v>
                </c:pt>
                <c:pt idx="1">
                  <c:v>85.056093960905713</c:v>
                </c:pt>
                <c:pt idx="2">
                  <c:v>82.644555338322789</c:v>
                </c:pt>
                <c:pt idx="3">
                  <c:v>99.170110306203711</c:v>
                </c:pt>
                <c:pt idx="4">
                  <c:v>128.73367902891709</c:v>
                </c:pt>
                <c:pt idx="6">
                  <c:v>104.13165470467408</c:v>
                </c:pt>
                <c:pt idx="7">
                  <c:v>85.056093960905713</c:v>
                </c:pt>
                <c:pt idx="8">
                  <c:v>74.201645048554042</c:v>
                </c:pt>
                <c:pt idx="9">
                  <c:v>74.363142560217</c:v>
                </c:pt>
                <c:pt idx="10">
                  <c:v>72.114253627007685</c:v>
                </c:pt>
                <c:pt idx="12">
                  <c:v>104.13165470467408</c:v>
                </c:pt>
                <c:pt idx="13">
                  <c:v>86.324204136533339</c:v>
                </c:pt>
                <c:pt idx="14">
                  <c:v>95.400817139421207</c:v>
                </c:pt>
                <c:pt idx="15">
                  <c:v>137.61121766907905</c:v>
                </c:pt>
                <c:pt idx="16">
                  <c:v>228.97322720730725</c:v>
                </c:pt>
              </c:numCache>
            </c:numRef>
          </c:val>
        </c:ser>
        <c:ser>
          <c:idx val="4"/>
          <c:order val="4"/>
          <c:tx>
            <c:strRef>
              <c:f>FIGURES!$H$5</c:f>
              <c:strCache>
                <c:ptCount val="1"/>
                <c:pt idx="0">
                  <c:v>PM10</c:v>
                </c:pt>
              </c:strCache>
            </c:strRef>
          </c:tx>
          <c:spPr>
            <a:solidFill>
              <a:schemeClr val="accent4">
                <a:lumMod val="40000"/>
                <a:lumOff val="60000"/>
              </a:schemeClr>
            </a:solidFill>
          </c:spPr>
          <c:cat>
            <c:multiLvlStrRef>
              <c:f>FIGURES!$B$6:$C$22</c:f>
              <c:multiLvlStrCache>
                <c:ptCount val="1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lvl>
                <c:lvl>
                  <c:pt idx="0">
                    <c:v>BASE CASE
U.S. Avg. 
Grid Mix</c:v>
                  </c:pt>
                  <c:pt idx="5">
                    <c:v> </c:v>
                  </c:pt>
                  <c:pt idx="6">
                    <c:v>OPTIMISTIC
Zero-Emission
Power Plant</c:v>
                  </c:pt>
                  <c:pt idx="11">
                    <c:v> </c:v>
                  </c:pt>
                  <c:pt idx="12">
                    <c:v>PESSIMISTIC
Coal Fired
Power Plant</c:v>
                  </c:pt>
                </c:lvl>
              </c:multiLvlStrCache>
            </c:multiLvlStrRef>
          </c:cat>
          <c:val>
            <c:numRef>
              <c:f>FIGURES!$H$6:$H$22</c:f>
              <c:numCache>
                <c:formatCode>"$"#,##0</c:formatCode>
                <c:ptCount val="17"/>
                <c:pt idx="0">
                  <c:v>109.0601833311037</c:v>
                </c:pt>
                <c:pt idx="1">
                  <c:v>99.240449074941608</c:v>
                </c:pt>
                <c:pt idx="2">
                  <c:v>101.48096887821208</c:v>
                </c:pt>
                <c:pt idx="3">
                  <c:v>122.77531596720763</c:v>
                </c:pt>
                <c:pt idx="4">
                  <c:v>199.86763473738299</c:v>
                </c:pt>
                <c:pt idx="6">
                  <c:v>109.0601833311037</c:v>
                </c:pt>
                <c:pt idx="7">
                  <c:v>99.240449074941608</c:v>
                </c:pt>
                <c:pt idx="8">
                  <c:v>97.887371399090938</c:v>
                </c:pt>
                <c:pt idx="9">
                  <c:v>112.21660413715938</c:v>
                </c:pt>
                <c:pt idx="10">
                  <c:v>175.76842991222287</c:v>
                </c:pt>
                <c:pt idx="12">
                  <c:v>109.0601833311037</c:v>
                </c:pt>
                <c:pt idx="13">
                  <c:v>102.05032542065189</c:v>
                </c:pt>
                <c:pt idx="14">
                  <c:v>109.78880328853825</c:v>
                </c:pt>
                <c:pt idx="15">
                  <c:v>149.37516704604079</c:v>
                </c:pt>
                <c:pt idx="16">
                  <c:v>289.07607459727205</c:v>
                </c:pt>
              </c:numCache>
            </c:numRef>
          </c:val>
        </c:ser>
        <c:ser>
          <c:idx val="5"/>
          <c:order val="5"/>
          <c:tx>
            <c:strRef>
              <c:f>FIGURES!$I$5</c:f>
              <c:strCache>
                <c:ptCount val="1"/>
                <c:pt idx="0">
                  <c:v>PM2.5</c:v>
                </c:pt>
              </c:strCache>
            </c:strRef>
          </c:tx>
          <c:spPr>
            <a:solidFill>
              <a:schemeClr val="accent4">
                <a:lumMod val="75000"/>
              </a:schemeClr>
            </a:solidFill>
          </c:spPr>
          <c:cat>
            <c:multiLvlStrRef>
              <c:f>FIGURES!$B$6:$C$22</c:f>
              <c:multiLvlStrCache>
                <c:ptCount val="1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lvl>
                <c:lvl>
                  <c:pt idx="0">
                    <c:v>BASE CASE
U.S. Avg. 
Grid Mix</c:v>
                  </c:pt>
                  <c:pt idx="5">
                    <c:v> </c:v>
                  </c:pt>
                  <c:pt idx="6">
                    <c:v>OPTIMISTIC
Zero-Emission
Power Plant</c:v>
                  </c:pt>
                  <c:pt idx="11">
                    <c:v> </c:v>
                  </c:pt>
                  <c:pt idx="12">
                    <c:v>PESSIMISTIC
Coal Fired
Power Plant</c:v>
                  </c:pt>
                </c:lvl>
              </c:multiLvlStrCache>
            </c:multiLvlStrRef>
          </c:cat>
          <c:val>
            <c:numRef>
              <c:f>FIGURES!$I$6:$I$22</c:f>
              <c:numCache>
                <c:formatCode>"$"#,##0</c:formatCode>
                <c:ptCount val="17"/>
                <c:pt idx="0">
                  <c:v>327.17935195742109</c:v>
                </c:pt>
                <c:pt idx="1">
                  <c:v>296.12031154674804</c:v>
                </c:pt>
                <c:pt idx="2">
                  <c:v>291.66818921652788</c:v>
                </c:pt>
                <c:pt idx="3">
                  <c:v>333.46407461874128</c:v>
                </c:pt>
                <c:pt idx="4">
                  <c:v>475.91261374108592</c:v>
                </c:pt>
                <c:pt idx="6">
                  <c:v>327.17935195742109</c:v>
                </c:pt>
                <c:pt idx="7">
                  <c:v>296.12031154674804</c:v>
                </c:pt>
                <c:pt idx="8">
                  <c:v>281.57921487483054</c:v>
                </c:pt>
                <c:pt idx="9">
                  <c:v>303.82063977283718</c:v>
                </c:pt>
                <c:pt idx="10">
                  <c:v>408.25443539780326</c:v>
                </c:pt>
                <c:pt idx="12">
                  <c:v>327.17935195742109</c:v>
                </c:pt>
                <c:pt idx="13">
                  <c:v>301.55772962452818</c:v>
                </c:pt>
                <c:pt idx="14">
                  <c:v>325.90919355157894</c:v>
                </c:pt>
                <c:pt idx="15">
                  <c:v>438.6993994776783</c:v>
                </c:pt>
                <c:pt idx="16">
                  <c:v>776.3339816355508</c:v>
                </c:pt>
              </c:numCache>
            </c:numRef>
          </c:val>
        </c:ser>
        <c:ser>
          <c:idx val="6"/>
          <c:order val="6"/>
          <c:tx>
            <c:strRef>
              <c:f>FIGURES!$J$5</c:f>
              <c:strCache>
                <c:ptCount val="1"/>
                <c:pt idx="0">
                  <c:v>SO2</c:v>
                </c:pt>
              </c:strCache>
            </c:strRef>
          </c:tx>
          <c:spPr>
            <a:solidFill>
              <a:srgbClr val="CCCC00"/>
            </a:solidFill>
          </c:spPr>
          <c:cat>
            <c:multiLvlStrRef>
              <c:f>FIGURES!$B$6:$C$22</c:f>
              <c:multiLvlStrCache>
                <c:ptCount val="1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lvl>
                <c:lvl>
                  <c:pt idx="0">
                    <c:v>BASE CASE
U.S. Avg. 
Grid Mix</c:v>
                  </c:pt>
                  <c:pt idx="5">
                    <c:v> </c:v>
                  </c:pt>
                  <c:pt idx="6">
                    <c:v>OPTIMISTIC
Zero-Emission
Power Plant</c:v>
                  </c:pt>
                  <c:pt idx="11">
                    <c:v> </c:v>
                  </c:pt>
                  <c:pt idx="12">
                    <c:v>PESSIMISTIC
Coal Fired
Power Plant</c:v>
                  </c:pt>
                </c:lvl>
              </c:multiLvlStrCache>
            </c:multiLvlStrRef>
          </c:cat>
          <c:val>
            <c:numRef>
              <c:f>FIGURES!$J$6:$J$22</c:f>
              <c:numCache>
                <c:formatCode>"$"#,##0</c:formatCode>
                <c:ptCount val="17"/>
                <c:pt idx="0">
                  <c:v>412.88420411262837</c:v>
                </c:pt>
                <c:pt idx="1">
                  <c:v>485.95540241708989</c:v>
                </c:pt>
                <c:pt idx="2">
                  <c:v>556.99015577880436</c:v>
                </c:pt>
                <c:pt idx="3">
                  <c:v>895.9992717436171</c:v>
                </c:pt>
                <c:pt idx="4">
                  <c:v>1938.8143695072956</c:v>
                </c:pt>
                <c:pt idx="6">
                  <c:v>412.88420411262837</c:v>
                </c:pt>
                <c:pt idx="7">
                  <c:v>485.95540241708989</c:v>
                </c:pt>
                <c:pt idx="8">
                  <c:v>465.75648755121978</c:v>
                </c:pt>
                <c:pt idx="9">
                  <c:v>627.93641339341502</c:v>
                </c:pt>
                <c:pt idx="10">
                  <c:v>1326.9876776361252</c:v>
                </c:pt>
                <c:pt idx="12">
                  <c:v>412.88420411262837</c:v>
                </c:pt>
                <c:pt idx="13">
                  <c:v>534.49851516334513</c:v>
                </c:pt>
                <c:pt idx="14">
                  <c:v>931.53559220983891</c:v>
                </c:pt>
                <c:pt idx="15">
                  <c:v>2018.5195000301717</c:v>
                </c:pt>
                <c:pt idx="16">
                  <c:v>4787.5523025464063</c:v>
                </c:pt>
              </c:numCache>
            </c:numRef>
          </c:val>
        </c:ser>
        <c:ser>
          <c:idx val="7"/>
          <c:order val="7"/>
          <c:tx>
            <c:strRef>
              <c:f>FIGURES!$K$5</c:f>
              <c:strCache>
                <c:ptCount val="1"/>
                <c:pt idx="0">
                  <c:v>VOC</c:v>
                </c:pt>
              </c:strCache>
            </c:strRef>
          </c:tx>
          <c:spPr>
            <a:solidFill>
              <a:schemeClr val="accent5">
                <a:lumMod val="40000"/>
                <a:lumOff val="60000"/>
              </a:schemeClr>
            </a:solidFill>
          </c:spPr>
          <c:cat>
            <c:multiLvlStrRef>
              <c:f>FIGURES!$B$6:$C$22</c:f>
              <c:multiLvlStrCache>
                <c:ptCount val="1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lvl>
                <c:lvl>
                  <c:pt idx="0">
                    <c:v>BASE CASE
U.S. Avg. 
Grid Mix</c:v>
                  </c:pt>
                  <c:pt idx="5">
                    <c:v> </c:v>
                  </c:pt>
                  <c:pt idx="6">
                    <c:v>OPTIMISTIC
Zero-Emission
Power Plant</c:v>
                  </c:pt>
                  <c:pt idx="11">
                    <c:v> </c:v>
                  </c:pt>
                  <c:pt idx="12">
                    <c:v>PESSIMISTIC
Coal Fired
Power Plant</c:v>
                  </c:pt>
                </c:lvl>
              </c:multiLvlStrCache>
            </c:multiLvlStrRef>
          </c:cat>
          <c:val>
            <c:numRef>
              <c:f>FIGURES!$K$6:$K$22</c:f>
              <c:numCache>
                <c:formatCode>"$"#,##0</c:formatCode>
                <c:ptCount val="17"/>
                <c:pt idx="0">
                  <c:v>227.045243863363</c:v>
                </c:pt>
                <c:pt idx="1">
                  <c:v>183.48724632642646</c:v>
                </c:pt>
                <c:pt idx="2">
                  <c:v>157.06115570665324</c:v>
                </c:pt>
                <c:pt idx="3">
                  <c:v>141.14460618054966</c:v>
                </c:pt>
                <c:pt idx="4">
                  <c:v>82.475839194839338</c:v>
                </c:pt>
                <c:pt idx="6">
                  <c:v>227.045243863363</c:v>
                </c:pt>
                <c:pt idx="7">
                  <c:v>183.48724632642646</c:v>
                </c:pt>
                <c:pt idx="8">
                  <c:v>156.9975239584785</c:v>
                </c:pt>
                <c:pt idx="9">
                  <c:v>140.95764331224763</c:v>
                </c:pt>
                <c:pt idx="10">
                  <c:v>82.049115127506866</c:v>
                </c:pt>
                <c:pt idx="12">
                  <c:v>227.045243863363</c:v>
                </c:pt>
                <c:pt idx="13">
                  <c:v>183.59028290944246</c:v>
                </c:pt>
                <c:pt idx="14">
                  <c:v>157.24364643840394</c:v>
                </c:pt>
                <c:pt idx="15">
                  <c:v>141.75405314112487</c:v>
                </c:pt>
                <c:pt idx="16">
                  <c:v>84.820127540333232</c:v>
                </c:pt>
              </c:numCache>
            </c:numRef>
          </c:val>
        </c:ser>
        <c:ser>
          <c:idx val="8"/>
          <c:order val="8"/>
          <c:tx>
            <c:strRef>
              <c:f>FIGURES!$L$5</c:f>
              <c:strCache>
                <c:ptCount val="1"/>
                <c:pt idx="0">
                  <c:v>Disruption</c:v>
                </c:pt>
              </c:strCache>
            </c:strRef>
          </c:tx>
          <c:spPr>
            <a:solidFill>
              <a:schemeClr val="tx1">
                <a:lumMod val="85000"/>
                <a:lumOff val="15000"/>
              </a:schemeClr>
            </a:solidFill>
          </c:spPr>
          <c:cat>
            <c:multiLvlStrRef>
              <c:f>FIGURES!$B$6:$C$22</c:f>
              <c:multiLvlStrCache>
                <c:ptCount val="1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lvl>
                <c:lvl>
                  <c:pt idx="0">
                    <c:v>BASE CASE
U.S. Avg. 
Grid Mix</c:v>
                  </c:pt>
                  <c:pt idx="5">
                    <c:v> </c:v>
                  </c:pt>
                  <c:pt idx="6">
                    <c:v>OPTIMISTIC
Zero-Emission
Power Plant</c:v>
                  </c:pt>
                  <c:pt idx="11">
                    <c:v> </c:v>
                  </c:pt>
                  <c:pt idx="12">
                    <c:v>PESSIMISTIC
Coal Fired
Power Plant</c:v>
                  </c:pt>
                </c:lvl>
              </c:multiLvlStrCache>
            </c:multiLvlStrRef>
          </c:cat>
          <c:val>
            <c:numRef>
              <c:f>FIGURES!$L$6:$L$22</c:f>
              <c:numCache>
                <c:formatCode>"$"#,##0</c:formatCode>
                <c:ptCount val="17"/>
                <c:pt idx="0">
                  <c:v>335.04288137349306</c:v>
                </c:pt>
                <c:pt idx="1">
                  <c:v>239.31634383820932</c:v>
                </c:pt>
                <c:pt idx="2">
                  <c:v>194.46127091397832</c:v>
                </c:pt>
                <c:pt idx="3">
                  <c:v>168.42228059307067</c:v>
                </c:pt>
                <c:pt idx="4">
                  <c:v>0</c:v>
                </c:pt>
                <c:pt idx="6">
                  <c:v>335.04288137349306</c:v>
                </c:pt>
                <c:pt idx="7">
                  <c:v>239.31634383820932</c:v>
                </c:pt>
                <c:pt idx="8">
                  <c:v>194.46127091397832</c:v>
                </c:pt>
                <c:pt idx="9">
                  <c:v>168.42228059307067</c:v>
                </c:pt>
                <c:pt idx="10">
                  <c:v>0</c:v>
                </c:pt>
                <c:pt idx="12">
                  <c:v>335.04288137349306</c:v>
                </c:pt>
                <c:pt idx="13">
                  <c:v>239.31634383820932</c:v>
                </c:pt>
                <c:pt idx="14">
                  <c:v>194.46127091397832</c:v>
                </c:pt>
                <c:pt idx="15">
                  <c:v>168.42228059307067</c:v>
                </c:pt>
                <c:pt idx="16">
                  <c:v>0</c:v>
                </c:pt>
              </c:numCache>
            </c:numRef>
          </c:val>
        </c:ser>
        <c:ser>
          <c:idx val="9"/>
          <c:order val="9"/>
          <c:tx>
            <c:strRef>
              <c:f>FIGURES!$M$5</c:f>
              <c:strCache>
                <c:ptCount val="1"/>
                <c:pt idx="0">
                  <c:v>Monopsony</c:v>
                </c:pt>
              </c:strCache>
            </c:strRef>
          </c:tx>
          <c:spPr>
            <a:solidFill>
              <a:schemeClr val="tx1">
                <a:lumMod val="50000"/>
                <a:lumOff val="50000"/>
              </a:schemeClr>
            </a:solidFill>
          </c:spPr>
          <c:cat>
            <c:multiLvlStrRef>
              <c:f>FIGURES!$B$6:$C$22</c:f>
              <c:multiLvlStrCache>
                <c:ptCount val="1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lvl>
                <c:lvl>
                  <c:pt idx="0">
                    <c:v>BASE CASE
U.S. Avg. 
Grid Mix</c:v>
                  </c:pt>
                  <c:pt idx="5">
                    <c:v> </c:v>
                  </c:pt>
                  <c:pt idx="6">
                    <c:v>OPTIMISTIC
Zero-Emission
Power Plant</c:v>
                  </c:pt>
                  <c:pt idx="11">
                    <c:v> </c:v>
                  </c:pt>
                  <c:pt idx="12">
                    <c:v>PESSIMISTIC
Coal Fired
Power Plant</c:v>
                  </c:pt>
                </c:lvl>
              </c:multiLvlStrCache>
            </c:multiLvlStrRef>
          </c:cat>
          <c:val>
            <c:numRef>
              <c:f>FIGURES!$M$6:$M$22</c:f>
              <c:numCache>
                <c:formatCode>"$"#,##0</c:formatCode>
                <c:ptCount val="17"/>
                <c:pt idx="0">
                  <c:v>829.22473140215186</c:v>
                </c:pt>
                <c:pt idx="1">
                  <c:v>592.3033795729657</c:v>
                </c:pt>
                <c:pt idx="2">
                  <c:v>481.28793090818442</c:v>
                </c:pt>
                <c:pt idx="3">
                  <c:v>416.84192726136246</c:v>
                </c:pt>
                <c:pt idx="4">
                  <c:v>0</c:v>
                </c:pt>
                <c:pt idx="6">
                  <c:v>829.22473140215186</c:v>
                </c:pt>
                <c:pt idx="7">
                  <c:v>592.3033795729657</c:v>
                </c:pt>
                <c:pt idx="8">
                  <c:v>481.28793090818442</c:v>
                </c:pt>
                <c:pt idx="9">
                  <c:v>416.84192726136246</c:v>
                </c:pt>
                <c:pt idx="10">
                  <c:v>0</c:v>
                </c:pt>
                <c:pt idx="12">
                  <c:v>829.22473140215186</c:v>
                </c:pt>
                <c:pt idx="13">
                  <c:v>592.3033795729657</c:v>
                </c:pt>
                <c:pt idx="14">
                  <c:v>481.28793090818442</c:v>
                </c:pt>
                <c:pt idx="15">
                  <c:v>416.84192726136246</c:v>
                </c:pt>
                <c:pt idx="16">
                  <c:v>0</c:v>
                </c:pt>
              </c:numCache>
            </c:numRef>
          </c:val>
        </c:ser>
        <c:ser>
          <c:idx val="10"/>
          <c:order val="10"/>
          <c:tx>
            <c:strRef>
              <c:f>FIGURES!$N$5</c:f>
              <c:strCache>
                <c:ptCount val="1"/>
                <c:pt idx="0">
                  <c:v>Military</c:v>
                </c:pt>
              </c:strCache>
            </c:strRef>
          </c:tx>
          <c:spPr>
            <a:solidFill>
              <a:schemeClr val="bg1">
                <a:lumMod val="75000"/>
              </a:schemeClr>
            </a:solidFill>
          </c:spPr>
          <c:cat>
            <c:multiLvlStrRef>
              <c:f>FIGURES!$B$6:$C$22</c:f>
              <c:multiLvlStrCache>
                <c:ptCount val="1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lvl>
                <c:lvl>
                  <c:pt idx="0">
                    <c:v>BASE CASE
U.S. Avg. 
Grid Mix</c:v>
                  </c:pt>
                  <c:pt idx="5">
                    <c:v> </c:v>
                  </c:pt>
                  <c:pt idx="6">
                    <c:v>OPTIMISTIC
Zero-Emission
Power Plant</c:v>
                  </c:pt>
                  <c:pt idx="11">
                    <c:v> </c:v>
                  </c:pt>
                  <c:pt idx="12">
                    <c:v>PESSIMISTIC
Coal Fired
Power Plant</c:v>
                  </c:pt>
                </c:lvl>
              </c:multiLvlStrCache>
            </c:multiLvlStrRef>
          </c:cat>
          <c:val>
            <c:numRef>
              <c:f>FIGURES!$N$6:$N$22</c:f>
              <c:numCache>
                <c:formatCode>"$"#,##0</c:formatCode>
                <c:ptCount val="17"/>
                <c:pt idx="0">
                  <c:v>119.9726900992793</c:v>
                </c:pt>
                <c:pt idx="1">
                  <c:v>85.694778642342385</c:v>
                </c:pt>
                <c:pt idx="2">
                  <c:v>69.633002486231831</c:v>
                </c:pt>
                <c:pt idx="3">
                  <c:v>60.308919242135367</c:v>
                </c:pt>
                <c:pt idx="4">
                  <c:v>0</c:v>
                </c:pt>
                <c:pt idx="6">
                  <c:v>119.9726900992793</c:v>
                </c:pt>
                <c:pt idx="7">
                  <c:v>85.694778642342385</c:v>
                </c:pt>
                <c:pt idx="8">
                  <c:v>69.633002486231831</c:v>
                </c:pt>
                <c:pt idx="9">
                  <c:v>60.308919242135367</c:v>
                </c:pt>
                <c:pt idx="10">
                  <c:v>0</c:v>
                </c:pt>
                <c:pt idx="12">
                  <c:v>119.9726900992793</c:v>
                </c:pt>
                <c:pt idx="13">
                  <c:v>85.694778642342385</c:v>
                </c:pt>
                <c:pt idx="14">
                  <c:v>69.633002486231831</c:v>
                </c:pt>
                <c:pt idx="15">
                  <c:v>60.308919242135367</c:v>
                </c:pt>
                <c:pt idx="16">
                  <c:v>0</c:v>
                </c:pt>
              </c:numCache>
            </c:numRef>
          </c:val>
        </c:ser>
        <c:gapWidth val="50"/>
        <c:shape val="box"/>
        <c:axId val="138321280"/>
        <c:axId val="138339456"/>
        <c:axId val="0"/>
      </c:bar3DChart>
      <c:catAx>
        <c:axId val="138321280"/>
        <c:scaling>
          <c:orientation val="minMax"/>
        </c:scaling>
        <c:axPos val="b"/>
        <c:majorTickMark val="none"/>
        <c:tickLblPos val="nextTo"/>
        <c:crossAx val="138339456"/>
        <c:crosses val="autoZero"/>
        <c:auto val="1"/>
        <c:lblAlgn val="ctr"/>
        <c:lblOffset val="100"/>
      </c:catAx>
      <c:valAx>
        <c:axId val="138339456"/>
        <c:scaling>
          <c:orientation val="minMax"/>
          <c:max val="10000"/>
          <c:min val="0"/>
        </c:scaling>
        <c:axPos val="l"/>
        <c:majorGridlines/>
        <c:numFmt formatCode="&quot;$&quot;#,##0" sourceLinked="1"/>
        <c:majorTickMark val="none"/>
        <c:tickLblPos val="nextTo"/>
        <c:crossAx val="138321280"/>
        <c:crosses val="autoZero"/>
        <c:crossBetween val="between"/>
        <c:majorUnit val="2000"/>
      </c:valAx>
    </c:plotArea>
    <c:legend>
      <c:legendPos val="r"/>
      <c:legendEntry>
        <c:idx val="8"/>
        <c:delete val="1"/>
      </c:legendEntry>
      <c:layout>
        <c:manualLayout>
          <c:xMode val="edge"/>
          <c:yMode val="edge"/>
          <c:x val="0.80676281016448836"/>
          <c:y val="0.18815755183285143"/>
          <c:w val="0.19323718983551741"/>
          <c:h val="0.51825192932685649"/>
        </c:manualLayout>
      </c:layout>
    </c:legend>
    <c:plotVisOnly val="1"/>
    <c:dispBlanksAs val="gap"/>
  </c:chart>
  <c:spPr>
    <a:ln>
      <a:noFill/>
    </a:ln>
    <a:scene3d>
      <a:camera prst="orthographicFront"/>
      <a:lightRig rig="threePt" dir="t"/>
    </a:scene3d>
    <a:sp3d/>
  </c:spPr>
  <c:printSettings>
    <c:headerFooter/>
    <c:pageMargins b="0.75000000000001377" l="0.70000000000000062" r="0.70000000000000062" t="0.75000000000001377"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NPV Lifetime</a:t>
            </a:r>
            <a:r>
              <a:rPr lang="en-US" sz="1100" baseline="0"/>
              <a:t> Cost, Emissions Externalities, and Oil Premium</a:t>
            </a:r>
            <a:endParaRPr lang="en-US" sz="1100"/>
          </a:p>
        </c:rich>
      </c:tx>
      <c:layout>
        <c:manualLayout>
          <c:xMode val="edge"/>
          <c:yMode val="edge"/>
          <c:x val="0.10635792410133138"/>
          <c:y val="0"/>
        </c:manualLayout>
      </c:layout>
    </c:title>
    <c:view3D>
      <c:depthPercent val="100"/>
      <c:rAngAx val="1"/>
    </c:view3D>
    <c:plotArea>
      <c:layout>
        <c:manualLayout>
          <c:layoutTarget val="inner"/>
          <c:xMode val="edge"/>
          <c:yMode val="edge"/>
          <c:x val="0.12935666512848887"/>
          <c:y val="9.81265694524001E-2"/>
          <c:w val="0.58772093753530363"/>
          <c:h val="0.469515570604633"/>
        </c:manualLayout>
      </c:layout>
      <c:bar3DChart>
        <c:barDir val="col"/>
        <c:grouping val="stacked"/>
        <c:ser>
          <c:idx val="0"/>
          <c:order val="0"/>
          <c:tx>
            <c:strRef>
              <c:f>FIGURES!$S$5</c:f>
              <c:strCache>
                <c:ptCount val="1"/>
                <c:pt idx="0">
                  <c:v>Base Vehicle</c:v>
                </c:pt>
              </c:strCache>
            </c:strRef>
          </c:tx>
          <c:spPr>
            <a:solidFill>
              <a:schemeClr val="tx2"/>
            </a:solidFill>
          </c:spPr>
          <c:dPt>
            <c:idx val="5"/>
            <c:spPr>
              <a:noFill/>
            </c:spPr>
          </c:dPt>
          <c:dPt>
            <c:idx val="11"/>
            <c:spPr>
              <a:noFill/>
            </c:spPr>
          </c:dPt>
          <c:cat>
            <c:multiLvlStrRef>
              <c:f>FIGURES!$Q$6:$R$22</c:f>
              <c:multiLvlStrCache>
                <c:ptCount val="1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lvl>
                <c:lvl>
                  <c:pt idx="0">
                    <c:v>BASE CASE
ANL 2015 Costs
Avg. Gas Price
12 yr. Battery
Avg. Grid</c:v>
                  </c:pt>
                  <c:pt idx="5">
                    <c:v> </c:v>
                  </c:pt>
                  <c:pt idx="6">
                    <c:v>OPTIMISTIC
DOE 2030 Goals
High Gas Price
12 yr. Battery
Hydroelectric</c:v>
                  </c:pt>
                  <c:pt idx="11">
                    <c:v> </c:v>
                  </c:pt>
                  <c:pt idx="12">
                    <c:v>PESSIMISTIC
ANL 2015 Costs
Low Gas Price
6 yr. Battery
Coal Electricity</c:v>
                  </c:pt>
                </c:lvl>
              </c:multiLvlStrCache>
            </c:multiLvlStrRef>
          </c:cat>
          <c:val>
            <c:numRef>
              <c:f>FIGURES!$S$6:$S$22</c:f>
              <c:numCache>
                <c:formatCode>"$"#,##0</c:formatCode>
                <c:ptCount val="17"/>
                <c:pt idx="0">
                  <c:v>23019.490021615933</c:v>
                </c:pt>
                <c:pt idx="1">
                  <c:v>24799.941964129226</c:v>
                </c:pt>
                <c:pt idx="2">
                  <c:v>25665.680796868604</c:v>
                </c:pt>
                <c:pt idx="3">
                  <c:v>25728.873412397024</c:v>
                </c:pt>
                <c:pt idx="4">
                  <c:v>20496.524846643686</c:v>
                </c:pt>
                <c:pt idx="6">
                  <c:v>23020.016626745339</c:v>
                </c:pt>
                <c:pt idx="7">
                  <c:v>25459.251586142429</c:v>
                </c:pt>
                <c:pt idx="8">
                  <c:v>25918.977864111697</c:v>
                </c:pt>
                <c:pt idx="9">
                  <c:v>25948.467751358294</c:v>
                </c:pt>
                <c:pt idx="10">
                  <c:v>21236.405053455623</c:v>
                </c:pt>
                <c:pt idx="12">
                  <c:v>23019.490021615933</c:v>
                </c:pt>
                <c:pt idx="13">
                  <c:v>24799.941964129226</c:v>
                </c:pt>
                <c:pt idx="14">
                  <c:v>25665.680796868604</c:v>
                </c:pt>
                <c:pt idx="15">
                  <c:v>25728.873412397024</c:v>
                </c:pt>
                <c:pt idx="16">
                  <c:v>20496.524846643686</c:v>
                </c:pt>
              </c:numCache>
            </c:numRef>
          </c:val>
        </c:ser>
        <c:ser>
          <c:idx val="4"/>
          <c:order val="1"/>
          <c:tx>
            <c:strRef>
              <c:f>FIGURES!$T$5</c:f>
              <c:strCache>
                <c:ptCount val="1"/>
                <c:pt idx="0">
                  <c:v>Initial Battery</c:v>
                </c:pt>
              </c:strCache>
            </c:strRef>
          </c:tx>
          <c:spPr>
            <a:solidFill>
              <a:schemeClr val="accent1"/>
            </a:solidFill>
          </c:spPr>
          <c:dPt>
            <c:idx val="5"/>
            <c:spPr>
              <a:noFill/>
            </c:spPr>
          </c:dPt>
          <c:dPt>
            <c:idx val="11"/>
            <c:spPr>
              <a:noFill/>
            </c:spPr>
          </c:dPt>
          <c:cat>
            <c:multiLvlStrRef>
              <c:f>FIGURES!$Q$6:$R$22</c:f>
              <c:multiLvlStrCache>
                <c:ptCount val="1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lvl>
                <c:lvl>
                  <c:pt idx="0">
                    <c:v>BASE CASE
ANL 2015 Costs
Avg. Gas Price
12 yr. Battery
Avg. Grid</c:v>
                  </c:pt>
                  <c:pt idx="5">
                    <c:v> </c:v>
                  </c:pt>
                  <c:pt idx="6">
                    <c:v>OPTIMISTIC
DOE 2030 Goals
High Gas Price
12 yr. Battery
Hydroelectric</c:v>
                  </c:pt>
                  <c:pt idx="11">
                    <c:v> </c:v>
                  </c:pt>
                  <c:pt idx="12">
                    <c:v>PESSIMISTIC
ANL 2015 Costs
Low Gas Price
6 yr. Battery
Coal Electricity</c:v>
                  </c:pt>
                </c:lvl>
              </c:multiLvlStrCache>
            </c:multiLvlStrRef>
          </c:cat>
          <c:val>
            <c:numRef>
              <c:f>FIGURES!$T$6:$T$22</c:f>
              <c:numCache>
                <c:formatCode>"$"#,##0</c:formatCode>
                <c:ptCount val="17"/>
                <c:pt idx="0">
                  <c:v>0</c:v>
                </c:pt>
                <c:pt idx="1">
                  <c:v>2067.978343167611</c:v>
                </c:pt>
                <c:pt idx="2">
                  <c:v>2631.9724367587778</c:v>
                </c:pt>
                <c:pt idx="3">
                  <c:v>8730.0598352515044</c:v>
                </c:pt>
                <c:pt idx="4">
                  <c:v>31953.346041946596</c:v>
                </c:pt>
                <c:pt idx="6">
                  <c:v>0</c:v>
                </c:pt>
                <c:pt idx="7">
                  <c:v>755.15175556464328</c:v>
                </c:pt>
                <c:pt idx="8">
                  <c:v>718.8160016358006</c:v>
                </c:pt>
                <c:pt idx="9">
                  <c:v>2478.7303441023541</c:v>
                </c:pt>
                <c:pt idx="10">
                  <c:v>9331.9694981597222</c:v>
                </c:pt>
                <c:pt idx="12">
                  <c:v>0</c:v>
                </c:pt>
                <c:pt idx="13">
                  <c:v>2067.978343167611</c:v>
                </c:pt>
                <c:pt idx="14">
                  <c:v>2631.9724367587778</c:v>
                </c:pt>
                <c:pt idx="15">
                  <c:v>8730.0598352515044</c:v>
                </c:pt>
                <c:pt idx="16">
                  <c:v>31953.346041946596</c:v>
                </c:pt>
              </c:numCache>
            </c:numRef>
          </c:val>
        </c:ser>
        <c:ser>
          <c:idx val="5"/>
          <c:order val="2"/>
          <c:tx>
            <c:strRef>
              <c:f>FIGURES!$U$5</c:f>
              <c:strCache>
                <c:ptCount val="1"/>
                <c:pt idx="0">
                  <c:v>Replacement Battery</c:v>
                </c:pt>
              </c:strCache>
            </c:strRef>
          </c:tx>
          <c:spPr>
            <a:solidFill>
              <a:schemeClr val="accent1">
                <a:lumMod val="60000"/>
                <a:lumOff val="40000"/>
              </a:schemeClr>
            </a:solidFill>
          </c:spPr>
          <c:dPt>
            <c:idx val="5"/>
            <c:spPr>
              <a:noFill/>
            </c:spPr>
          </c:dPt>
          <c:dPt>
            <c:idx val="11"/>
            <c:spPr>
              <a:noFill/>
            </c:spPr>
          </c:dPt>
          <c:cat>
            <c:multiLvlStrRef>
              <c:f>FIGURES!$Q$6:$R$22</c:f>
              <c:multiLvlStrCache>
                <c:ptCount val="1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lvl>
                <c:lvl>
                  <c:pt idx="0">
                    <c:v>BASE CASE
ANL 2015 Costs
Avg. Gas Price
12 yr. Battery
Avg. Grid</c:v>
                  </c:pt>
                  <c:pt idx="5">
                    <c:v> </c:v>
                  </c:pt>
                  <c:pt idx="6">
                    <c:v>OPTIMISTIC
DOE 2030 Goals
High Gas Price
12 yr. Battery
Hydroelectric</c:v>
                  </c:pt>
                  <c:pt idx="11">
                    <c:v> </c:v>
                  </c:pt>
                  <c:pt idx="12">
                    <c:v>PESSIMISTIC
ANL 2015 Costs
Low Gas Price
6 yr. Battery
Coal Electricity</c:v>
                  </c:pt>
                </c:lvl>
              </c:multiLvlStrCache>
            </c:multiLvlStrRef>
          </c:cat>
          <c:val>
            <c:numRef>
              <c:f>FIGURES!$U$6:$U$22</c:f>
              <c:numCache>
                <c:formatCode>"$"#,##0</c:formatCode>
                <c:ptCount val="17"/>
                <c:pt idx="0">
                  <c:v>0</c:v>
                </c:pt>
                <c:pt idx="1">
                  <c:v>0</c:v>
                </c:pt>
                <c:pt idx="2">
                  <c:v>0</c:v>
                </c:pt>
                <c:pt idx="3">
                  <c:v>0</c:v>
                </c:pt>
                <c:pt idx="4">
                  <c:v>0</c:v>
                </c:pt>
                <c:pt idx="6">
                  <c:v>0</c:v>
                </c:pt>
                <c:pt idx="7">
                  <c:v>0</c:v>
                </c:pt>
                <c:pt idx="8">
                  <c:v>0</c:v>
                </c:pt>
                <c:pt idx="9">
                  <c:v>0</c:v>
                </c:pt>
                <c:pt idx="10">
                  <c:v>0</c:v>
                </c:pt>
                <c:pt idx="12">
                  <c:v>0</c:v>
                </c:pt>
                <c:pt idx="13">
                  <c:v>1303.1771409162741</c:v>
                </c:pt>
                <c:pt idx="14">
                  <c:v>1658.5890884388946</c:v>
                </c:pt>
                <c:pt idx="15">
                  <c:v>5501.4185490476175</c:v>
                </c:pt>
                <c:pt idx="16">
                  <c:v>20136.028152920211</c:v>
                </c:pt>
              </c:numCache>
            </c:numRef>
          </c:val>
        </c:ser>
        <c:ser>
          <c:idx val="8"/>
          <c:order val="3"/>
          <c:tx>
            <c:strRef>
              <c:f>FIGURES!$Y$5</c:f>
              <c:strCache>
                <c:ptCount val="1"/>
                <c:pt idx="0">
                  <c:v>Scheduled Maintenance</c:v>
                </c:pt>
              </c:strCache>
            </c:strRef>
          </c:tx>
          <c:spPr>
            <a:solidFill>
              <a:schemeClr val="accent4"/>
            </a:solidFill>
          </c:spPr>
          <c:dPt>
            <c:idx val="5"/>
            <c:spPr>
              <a:noFill/>
            </c:spPr>
          </c:dPt>
          <c:dPt>
            <c:idx val="11"/>
            <c:spPr>
              <a:noFill/>
            </c:spPr>
          </c:dPt>
          <c:val>
            <c:numRef>
              <c:f>FIGURES!$Y$6:$Y$22</c:f>
              <c:numCache>
                <c:formatCode>"$"#,##0</c:formatCode>
                <c:ptCount val="17"/>
                <c:pt idx="0">
                  <c:v>4379.9559833068452</c:v>
                </c:pt>
                <c:pt idx="1">
                  <c:v>3961.7852942126851</c:v>
                </c:pt>
                <c:pt idx="2">
                  <c:v>3234.9494096753001</c:v>
                </c:pt>
                <c:pt idx="3">
                  <c:v>3234.9494096753001</c:v>
                </c:pt>
                <c:pt idx="4">
                  <c:v>2232.3495903035837</c:v>
                </c:pt>
                <c:pt idx="6">
                  <c:v>4379.9559833068452</c:v>
                </c:pt>
                <c:pt idx="7">
                  <c:v>3961.7852942126851</c:v>
                </c:pt>
                <c:pt idx="8">
                  <c:v>3234.9494096753001</c:v>
                </c:pt>
                <c:pt idx="9">
                  <c:v>3234.9494096753001</c:v>
                </c:pt>
                <c:pt idx="10">
                  <c:v>2232.3495903035837</c:v>
                </c:pt>
                <c:pt idx="12">
                  <c:v>4379.9559833068452</c:v>
                </c:pt>
                <c:pt idx="13">
                  <c:v>3961.7852942126851</c:v>
                </c:pt>
                <c:pt idx="14">
                  <c:v>3234.9494096753001</c:v>
                </c:pt>
                <c:pt idx="15">
                  <c:v>3234.9494096753001</c:v>
                </c:pt>
                <c:pt idx="16">
                  <c:v>2232.3495903035837</c:v>
                </c:pt>
              </c:numCache>
            </c:numRef>
          </c:val>
        </c:ser>
        <c:ser>
          <c:idx val="7"/>
          <c:order val="4"/>
          <c:tx>
            <c:strRef>
              <c:f>FIGURES!$X$5</c:f>
              <c:strCache>
                <c:ptCount val="1"/>
                <c:pt idx="0">
                  <c:v>Charger Cost</c:v>
                </c:pt>
              </c:strCache>
            </c:strRef>
          </c:tx>
          <c:spPr>
            <a:solidFill>
              <a:schemeClr val="accent6">
                <a:lumMod val="50000"/>
              </a:schemeClr>
            </a:solidFill>
          </c:spPr>
          <c:dPt>
            <c:idx val="5"/>
            <c:spPr>
              <a:noFill/>
            </c:spPr>
          </c:dPt>
          <c:dPt>
            <c:idx val="11"/>
            <c:spPr>
              <a:noFill/>
            </c:spPr>
          </c:dPt>
          <c:val>
            <c:numRef>
              <c:f>FIGURES!$X$6:$X$22</c:f>
              <c:numCache>
                <c:formatCode>"$"#,##0</c:formatCode>
                <c:ptCount val="17"/>
                <c:pt idx="0">
                  <c:v>0</c:v>
                </c:pt>
                <c:pt idx="1">
                  <c:v>0</c:v>
                </c:pt>
                <c:pt idx="2">
                  <c:v>1200</c:v>
                </c:pt>
                <c:pt idx="3">
                  <c:v>2400</c:v>
                </c:pt>
                <c:pt idx="4">
                  <c:v>2400</c:v>
                </c:pt>
                <c:pt idx="6">
                  <c:v>0</c:v>
                </c:pt>
                <c:pt idx="7">
                  <c:v>0</c:v>
                </c:pt>
                <c:pt idx="8">
                  <c:v>1200</c:v>
                </c:pt>
                <c:pt idx="9">
                  <c:v>2400</c:v>
                </c:pt>
                <c:pt idx="10">
                  <c:v>2400</c:v>
                </c:pt>
                <c:pt idx="12">
                  <c:v>0</c:v>
                </c:pt>
                <c:pt idx="13">
                  <c:v>0</c:v>
                </c:pt>
                <c:pt idx="14">
                  <c:v>1200</c:v>
                </c:pt>
                <c:pt idx="15">
                  <c:v>2400</c:v>
                </c:pt>
                <c:pt idx="16">
                  <c:v>2400</c:v>
                </c:pt>
              </c:numCache>
            </c:numRef>
          </c:val>
        </c:ser>
        <c:ser>
          <c:idx val="2"/>
          <c:order val="5"/>
          <c:tx>
            <c:strRef>
              <c:f>FIGURES!$W$5</c:f>
              <c:strCache>
                <c:ptCount val="1"/>
                <c:pt idx="0">
                  <c:v>Electricity</c:v>
                </c:pt>
              </c:strCache>
            </c:strRef>
          </c:tx>
          <c:spPr>
            <a:solidFill>
              <a:srgbClr val="CCCC00"/>
            </a:solidFill>
          </c:spPr>
          <c:dPt>
            <c:idx val="5"/>
            <c:spPr>
              <a:noFill/>
            </c:spPr>
          </c:dPt>
          <c:dPt>
            <c:idx val="11"/>
            <c:spPr>
              <a:noFill/>
            </c:spPr>
          </c:dPt>
          <c:cat>
            <c:multiLvlStrRef>
              <c:f>FIGURES!$Q$6:$R$22</c:f>
              <c:multiLvlStrCache>
                <c:ptCount val="1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lvl>
                <c:lvl>
                  <c:pt idx="0">
                    <c:v>BASE CASE
ANL 2015 Costs
Avg. Gas Price
12 yr. Battery
Avg. Grid</c:v>
                  </c:pt>
                  <c:pt idx="5">
                    <c:v> </c:v>
                  </c:pt>
                  <c:pt idx="6">
                    <c:v>OPTIMISTIC
DOE 2030 Goals
High Gas Price
12 yr. Battery
Hydroelectric</c:v>
                  </c:pt>
                  <c:pt idx="11">
                    <c:v> </c:v>
                  </c:pt>
                  <c:pt idx="12">
                    <c:v>PESSIMISTIC
ANL 2015 Costs
Low Gas Price
6 yr. Battery
Coal Electricity</c:v>
                  </c:pt>
                </c:lvl>
              </c:multiLvlStrCache>
            </c:multiLvlStrRef>
          </c:cat>
          <c:val>
            <c:numRef>
              <c:f>FIGURES!$W$6:$W$22</c:f>
              <c:numCache>
                <c:formatCode>"$"#,##0</c:formatCode>
                <c:ptCount val="17"/>
                <c:pt idx="0">
                  <c:v>0</c:v>
                </c:pt>
                <c:pt idx="1">
                  <c:v>0</c:v>
                </c:pt>
                <c:pt idx="2">
                  <c:v>787.62568701449754</c:v>
                </c:pt>
                <c:pt idx="3">
                  <c:v>2314.2026082352727</c:v>
                </c:pt>
                <c:pt idx="4">
                  <c:v>5281.9362399936672</c:v>
                </c:pt>
                <c:pt idx="6">
                  <c:v>0</c:v>
                </c:pt>
                <c:pt idx="7">
                  <c:v>0</c:v>
                </c:pt>
                <c:pt idx="8">
                  <c:v>702.62341184603372</c:v>
                </c:pt>
                <c:pt idx="9">
                  <c:v>2064.4488354165728</c:v>
                </c:pt>
                <c:pt idx="10">
                  <c:v>4711.8982065769651</c:v>
                </c:pt>
                <c:pt idx="12">
                  <c:v>0</c:v>
                </c:pt>
                <c:pt idx="13">
                  <c:v>0</c:v>
                </c:pt>
                <c:pt idx="14">
                  <c:v>834.84121643972094</c:v>
                </c:pt>
                <c:pt idx="15">
                  <c:v>2452.931325627967</c:v>
                </c:pt>
                <c:pt idx="16">
                  <c:v>5598.5706769771623</c:v>
                </c:pt>
              </c:numCache>
            </c:numRef>
          </c:val>
        </c:ser>
        <c:ser>
          <c:idx val="1"/>
          <c:order val="6"/>
          <c:tx>
            <c:strRef>
              <c:f>FIGURES!$V$5</c:f>
              <c:strCache>
                <c:ptCount val="1"/>
                <c:pt idx="0">
                  <c:v>Gasoline</c:v>
                </c:pt>
              </c:strCache>
            </c:strRef>
          </c:tx>
          <c:spPr>
            <a:solidFill>
              <a:schemeClr val="tx1"/>
            </a:solidFill>
          </c:spPr>
          <c:dPt>
            <c:idx val="5"/>
            <c:spPr>
              <a:noFill/>
            </c:spPr>
          </c:dPt>
          <c:dPt>
            <c:idx val="11"/>
            <c:spPr>
              <a:noFill/>
            </c:spPr>
          </c:dPt>
          <c:cat>
            <c:multiLvlStrRef>
              <c:f>FIGURES!$Q$6:$R$22</c:f>
              <c:multiLvlStrCache>
                <c:ptCount val="1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lvl>
                <c:lvl>
                  <c:pt idx="0">
                    <c:v>BASE CASE
ANL 2015 Costs
Avg. Gas Price
12 yr. Battery
Avg. Grid</c:v>
                  </c:pt>
                  <c:pt idx="5">
                    <c:v> </c:v>
                  </c:pt>
                  <c:pt idx="6">
                    <c:v>OPTIMISTIC
DOE 2030 Goals
High Gas Price
12 yr. Battery
Hydroelectric</c:v>
                  </c:pt>
                  <c:pt idx="11">
                    <c:v> </c:v>
                  </c:pt>
                  <c:pt idx="12">
                    <c:v>PESSIMISTIC
ANL 2015 Costs
Low Gas Price
6 yr. Battery
Coal Electricity</c:v>
                  </c:pt>
                </c:lvl>
              </c:multiLvlStrCache>
            </c:multiLvlStrRef>
          </c:cat>
          <c:val>
            <c:numRef>
              <c:f>FIGURES!$V$6:$V$22</c:f>
              <c:numCache>
                <c:formatCode>"$"#,##0</c:formatCode>
                <c:ptCount val="17"/>
                <c:pt idx="0">
                  <c:v>12386.239508244789</c:v>
                </c:pt>
                <c:pt idx="1">
                  <c:v>8847.3139344605643</c:v>
                </c:pt>
                <c:pt idx="2">
                  <c:v>7189.0614919024256</c:v>
                </c:pt>
                <c:pt idx="3">
                  <c:v>6226.4230100894329</c:v>
                </c:pt>
                <c:pt idx="4">
                  <c:v>0</c:v>
                </c:pt>
                <c:pt idx="6">
                  <c:v>18253.743161980979</c:v>
                </c:pt>
                <c:pt idx="7">
                  <c:v>13038.387972843557</c:v>
                </c:pt>
                <c:pt idx="8">
                  <c:v>10594.60233766063</c:v>
                </c:pt>
                <c:pt idx="9">
                  <c:v>9175.9509711052524</c:v>
                </c:pt>
                <c:pt idx="10">
                  <c:v>0</c:v>
                </c:pt>
                <c:pt idx="12">
                  <c:v>7159.2135243092662</c:v>
                </c:pt>
                <c:pt idx="13">
                  <c:v>5113.7239459351904</c:v>
                </c:pt>
                <c:pt idx="14">
                  <c:v>4155.2584402763705</c:v>
                </c:pt>
                <c:pt idx="15">
                  <c:v>3598.8559556135556</c:v>
                </c:pt>
                <c:pt idx="16">
                  <c:v>0</c:v>
                </c:pt>
              </c:numCache>
            </c:numRef>
          </c:val>
        </c:ser>
        <c:ser>
          <c:idx val="6"/>
          <c:order val="7"/>
          <c:tx>
            <c:strRef>
              <c:f>FIGURES!$AA$5</c:f>
              <c:strCache>
                <c:ptCount val="1"/>
                <c:pt idx="0">
                  <c:v>Oil Premium</c:v>
                </c:pt>
              </c:strCache>
            </c:strRef>
          </c:tx>
          <c:spPr>
            <a:solidFill>
              <a:schemeClr val="tx1">
                <a:lumMod val="50000"/>
                <a:lumOff val="50000"/>
              </a:schemeClr>
            </a:solidFill>
          </c:spPr>
          <c:dPt>
            <c:idx val="4"/>
            <c:spPr>
              <a:noFill/>
            </c:spPr>
          </c:dPt>
          <c:dPt>
            <c:idx val="5"/>
            <c:spPr>
              <a:noFill/>
            </c:spPr>
          </c:dPt>
          <c:dPt>
            <c:idx val="10"/>
            <c:spPr>
              <a:noFill/>
            </c:spPr>
          </c:dPt>
          <c:dPt>
            <c:idx val="11"/>
            <c:spPr>
              <a:noFill/>
            </c:spPr>
          </c:dPt>
          <c:dPt>
            <c:idx val="16"/>
            <c:spPr>
              <a:noFill/>
            </c:spPr>
          </c:dPt>
          <c:cat>
            <c:multiLvlStrRef>
              <c:f>FIGURES!$Q$6:$R$22</c:f>
              <c:multiLvlStrCache>
                <c:ptCount val="1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lvl>
                <c:lvl>
                  <c:pt idx="0">
                    <c:v>BASE CASE
ANL 2015 Costs
Avg. Gas Price
12 yr. Battery
Avg. Grid</c:v>
                  </c:pt>
                  <c:pt idx="5">
                    <c:v> </c:v>
                  </c:pt>
                  <c:pt idx="6">
                    <c:v>OPTIMISTIC
DOE 2030 Goals
High Gas Price
12 yr. Battery
Hydroelectric</c:v>
                  </c:pt>
                  <c:pt idx="11">
                    <c:v> </c:v>
                  </c:pt>
                  <c:pt idx="12">
                    <c:v>PESSIMISTIC
ANL 2015 Costs
Low Gas Price
6 yr. Battery
Coal Electricity</c:v>
                  </c:pt>
                </c:lvl>
              </c:multiLvlStrCache>
            </c:multiLvlStrRef>
          </c:cat>
          <c:val>
            <c:numRef>
              <c:f>FIGURES!$AA$6:$AA$22</c:f>
              <c:numCache>
                <c:formatCode>"$"#,##0</c:formatCode>
                <c:ptCount val="17"/>
                <c:pt idx="0">
                  <c:v>1284.2403028749243</c:v>
                </c:pt>
                <c:pt idx="1">
                  <c:v>917.31450205351746</c:v>
                </c:pt>
                <c:pt idx="2">
                  <c:v>745.38220430839453</c:v>
                </c:pt>
                <c:pt idx="3">
                  <c:v>645.57312709656856</c:v>
                </c:pt>
                <c:pt idx="4">
                  <c:v>0</c:v>
                </c:pt>
                <c:pt idx="6">
                  <c:v>1284.2403028749243</c:v>
                </c:pt>
                <c:pt idx="7">
                  <c:v>917.31450205351746</c:v>
                </c:pt>
                <c:pt idx="8">
                  <c:v>745.38220430839453</c:v>
                </c:pt>
                <c:pt idx="9">
                  <c:v>645.57312709656856</c:v>
                </c:pt>
                <c:pt idx="10">
                  <c:v>0</c:v>
                </c:pt>
                <c:pt idx="12">
                  <c:v>1284.2403028749243</c:v>
                </c:pt>
                <c:pt idx="13">
                  <c:v>917.31450205351746</c:v>
                </c:pt>
                <c:pt idx="14">
                  <c:v>745.38220430839453</c:v>
                </c:pt>
                <c:pt idx="15">
                  <c:v>645.57312709656856</c:v>
                </c:pt>
                <c:pt idx="16">
                  <c:v>0</c:v>
                </c:pt>
              </c:numCache>
            </c:numRef>
          </c:val>
        </c:ser>
        <c:ser>
          <c:idx val="3"/>
          <c:order val="8"/>
          <c:tx>
            <c:strRef>
              <c:f>FIGURES!$Z$5</c:f>
              <c:strCache>
                <c:ptCount val="1"/>
                <c:pt idx="0">
                  <c:v>Air Emissions Damages</c:v>
                </c:pt>
              </c:strCache>
            </c:strRef>
          </c:tx>
          <c:spPr>
            <a:solidFill>
              <a:srgbClr val="C00000"/>
            </a:solidFill>
          </c:spPr>
          <c:dPt>
            <c:idx val="5"/>
            <c:spPr>
              <a:noFill/>
            </c:spPr>
          </c:dPt>
          <c:dPt>
            <c:idx val="11"/>
            <c:spPr>
              <a:noFill/>
            </c:spPr>
          </c:dPt>
          <c:cat>
            <c:multiLvlStrRef>
              <c:f>FIGURES!$Q$6:$R$22</c:f>
              <c:multiLvlStrCache>
                <c:ptCount val="17"/>
                <c:lvl>
                  <c:pt idx="0">
                    <c:v>CV</c:v>
                  </c:pt>
                  <c:pt idx="1">
                    <c:v>HEV</c:v>
                  </c:pt>
                  <c:pt idx="2">
                    <c:v>PHEV20</c:v>
                  </c:pt>
                  <c:pt idx="3">
                    <c:v>PHEV60</c:v>
                  </c:pt>
                  <c:pt idx="4">
                    <c:v>BEV240</c:v>
                  </c:pt>
                  <c:pt idx="6">
                    <c:v>CV</c:v>
                  </c:pt>
                  <c:pt idx="7">
                    <c:v>HEV</c:v>
                  </c:pt>
                  <c:pt idx="8">
                    <c:v>PHEV20</c:v>
                  </c:pt>
                  <c:pt idx="9">
                    <c:v>PHEV60</c:v>
                  </c:pt>
                  <c:pt idx="10">
                    <c:v>BEV240</c:v>
                  </c:pt>
                  <c:pt idx="12">
                    <c:v>CV</c:v>
                  </c:pt>
                  <c:pt idx="13">
                    <c:v>HEV</c:v>
                  </c:pt>
                  <c:pt idx="14">
                    <c:v>PHEV20</c:v>
                  </c:pt>
                  <c:pt idx="15">
                    <c:v>PHEV60</c:v>
                  </c:pt>
                  <c:pt idx="16">
                    <c:v>BEV240</c:v>
                  </c:pt>
                </c:lvl>
                <c:lvl>
                  <c:pt idx="0">
                    <c:v>BASE CASE
ANL 2015 Costs
Avg. Gas Price
12 yr. Battery
Avg. Grid</c:v>
                  </c:pt>
                  <c:pt idx="5">
                    <c:v> </c:v>
                  </c:pt>
                  <c:pt idx="6">
                    <c:v>OPTIMISTIC
DOE 2030 Goals
High Gas Price
12 yr. Battery
Hydroelectric</c:v>
                  </c:pt>
                  <c:pt idx="11">
                    <c:v> </c:v>
                  </c:pt>
                  <c:pt idx="12">
                    <c:v>PESSIMISTIC
ANL 2015 Costs
Low Gas Price
6 yr. Battery
Coal Electricity</c:v>
                  </c:pt>
                </c:lvl>
              </c:multiLvlStrCache>
            </c:multiLvlStrRef>
          </c:cat>
          <c:val>
            <c:numRef>
              <c:f>FIGURES!$Z$6:$Z$22</c:f>
              <c:numCache>
                <c:formatCode>"$"#,##0</c:formatCode>
                <c:ptCount val="17"/>
                <c:pt idx="0">
                  <c:v>3517.2943095706469</c:v>
                </c:pt>
                <c:pt idx="1">
                  <c:v>2992.9127558241985</c:v>
                </c:pt>
                <c:pt idx="2">
                  <c:v>2887.4067215758</c:v>
                </c:pt>
                <c:pt idx="3">
                  <c:v>3500.3170262031931</c:v>
                </c:pt>
                <c:pt idx="4">
                  <c:v>4667.4752102121438</c:v>
                </c:pt>
                <c:pt idx="6">
                  <c:v>3517.2943095706469</c:v>
                </c:pt>
                <c:pt idx="7">
                  <c:v>2992.9127558241985</c:v>
                </c:pt>
                <c:pt idx="8">
                  <c:v>2624.6561096256064</c:v>
                </c:pt>
                <c:pt idx="9">
                  <c:v>2728.3029064055004</c:v>
                </c:pt>
                <c:pt idx="10">
                  <c:v>2905.4301141452202</c:v>
                </c:pt>
                <c:pt idx="12">
                  <c:v>3517.2943095706469</c:v>
                </c:pt>
                <c:pt idx="13">
                  <c:v>3070.0333018054998</c:v>
                </c:pt>
                <c:pt idx="14">
                  <c:v>3430.5267080621124</c:v>
                </c:pt>
                <c:pt idx="15">
                  <c:v>5139.6706554750899</c:v>
                </c:pt>
                <c:pt idx="16">
                  <c:v>8946.1926793435796</c:v>
                </c:pt>
              </c:numCache>
            </c:numRef>
          </c:val>
        </c:ser>
        <c:gapWidth val="55"/>
        <c:shape val="box"/>
        <c:axId val="138367360"/>
        <c:axId val="138368896"/>
        <c:axId val="0"/>
      </c:bar3DChart>
      <c:catAx>
        <c:axId val="138367360"/>
        <c:scaling>
          <c:orientation val="minMax"/>
        </c:scaling>
        <c:axPos val="b"/>
        <c:majorTickMark val="none"/>
        <c:tickLblPos val="nextTo"/>
        <c:crossAx val="138368896"/>
        <c:crosses val="autoZero"/>
        <c:auto val="1"/>
        <c:lblAlgn val="ctr"/>
        <c:lblOffset val="100"/>
      </c:catAx>
      <c:valAx>
        <c:axId val="138368896"/>
        <c:scaling>
          <c:orientation val="minMax"/>
          <c:max val="100000"/>
          <c:min val="0"/>
        </c:scaling>
        <c:axPos val="l"/>
        <c:majorGridlines/>
        <c:numFmt formatCode="&quot;$&quot;#,##0" sourceLinked="1"/>
        <c:majorTickMark val="none"/>
        <c:tickLblPos val="nextTo"/>
        <c:crossAx val="138367360"/>
        <c:crosses val="autoZero"/>
        <c:crossBetween val="between"/>
        <c:majorUnit val="20000"/>
      </c:valAx>
    </c:plotArea>
    <c:legend>
      <c:legendPos val="r"/>
      <c:layout>
        <c:manualLayout>
          <c:xMode val="edge"/>
          <c:yMode val="edge"/>
          <c:x val="0.70672860225595602"/>
          <c:y val="0.10648828721877383"/>
          <c:w val="0.27984630202307481"/>
          <c:h val="0.44445413778951542"/>
        </c:manualLayout>
      </c:layout>
    </c:legend>
    <c:plotVisOnly val="1"/>
    <c:dispBlanksAs val="zero"/>
  </c:chart>
  <c:spPr>
    <a:ln>
      <a:noFill/>
    </a:ln>
  </c:spPr>
  <c:printSettings>
    <c:headerFooter/>
    <c:pageMargins b="0.75000000000001377" l="0.70000000000000062" r="0.70000000000000062" t="0.75000000000001377"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8693451123487614"/>
          <c:y val="0.26733340697142316"/>
          <c:w val="0.71200409704884549"/>
          <c:h val="0.55858867340981255"/>
        </c:manualLayout>
      </c:layout>
      <c:scatterChart>
        <c:scatterStyle val="lineMarker"/>
        <c:ser>
          <c:idx val="0"/>
          <c:order val="0"/>
          <c:tx>
            <c:strRef>
              <c:f>FIGURES!$C$42</c:f>
              <c:strCache>
                <c:ptCount val="1"/>
                <c:pt idx="0">
                  <c:v>Federal Tax Credit (American Recovery and Reinvestment Act 2009)</c:v>
                </c:pt>
              </c:strCache>
            </c:strRef>
          </c:tx>
          <c:spPr>
            <a:ln>
              <a:solidFill>
                <a:srgbClr val="C00000"/>
              </a:solidFill>
            </a:ln>
          </c:spPr>
          <c:marker>
            <c:symbol val="none"/>
          </c:marker>
          <c:xVal>
            <c:numRef>
              <c:f>FIGURES!$B$43:$B$117</c:f>
              <c:numCache>
                <c:formatCode>0.0</c:formatCode>
                <c:ptCount val="75"/>
                <c:pt idx="0">
                  <c:v>0</c:v>
                </c:pt>
                <c:pt idx="1">
                  <c:v>1.1009142857142857</c:v>
                </c:pt>
                <c:pt idx="2">
                  <c:v>1</c:v>
                </c:pt>
                <c:pt idx="3">
                  <c:v>2</c:v>
                </c:pt>
                <c:pt idx="4">
                  <c:v>3</c:v>
                </c:pt>
                <c:pt idx="5">
                  <c:v>4</c:v>
                </c:pt>
                <c:pt idx="6">
                  <c:v>4</c:v>
                </c:pt>
                <c:pt idx="7">
                  <c:v>4.6492964285714287</c:v>
                </c:pt>
                <c:pt idx="8">
                  <c:v>5</c:v>
                </c:pt>
                <c:pt idx="9">
                  <c:v>6</c:v>
                </c:pt>
                <c:pt idx="10">
                  <c:v>7</c:v>
                </c:pt>
                <c:pt idx="11">
                  <c:v>8</c:v>
                </c:pt>
                <c:pt idx="12">
                  <c:v>9</c:v>
                </c:pt>
                <c:pt idx="13">
                  <c:v>10</c:v>
                </c:pt>
                <c:pt idx="14">
                  <c:v>11</c:v>
                </c:pt>
                <c:pt idx="15">
                  <c:v>12</c:v>
                </c:pt>
                <c:pt idx="16">
                  <c:v>13</c:v>
                </c:pt>
                <c:pt idx="17">
                  <c:v>14</c:v>
                </c:pt>
                <c:pt idx="18">
                  <c:v>15</c:v>
                </c:pt>
                <c:pt idx="19">
                  <c:v>15.945996428571428</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pt idx="53">
                  <c:v>49</c:v>
                </c:pt>
                <c:pt idx="54">
                  <c:v>50</c:v>
                </c:pt>
                <c:pt idx="55">
                  <c:v>51</c:v>
                </c:pt>
                <c:pt idx="56">
                  <c:v>52</c:v>
                </c:pt>
                <c:pt idx="57">
                  <c:v>53</c:v>
                </c:pt>
                <c:pt idx="58">
                  <c:v>54</c:v>
                </c:pt>
                <c:pt idx="59">
                  <c:v>55</c:v>
                </c:pt>
                <c:pt idx="60">
                  <c:v>56</c:v>
                </c:pt>
                <c:pt idx="61">
                  <c:v>57</c:v>
                </c:pt>
                <c:pt idx="62">
                  <c:v>58</c:v>
                </c:pt>
                <c:pt idx="63">
                  <c:v>59</c:v>
                </c:pt>
                <c:pt idx="64">
                  <c:v>60</c:v>
                </c:pt>
                <c:pt idx="65">
                  <c:v>61</c:v>
                </c:pt>
                <c:pt idx="66">
                  <c:v>62</c:v>
                </c:pt>
                <c:pt idx="67">
                  <c:v>63</c:v>
                </c:pt>
                <c:pt idx="68">
                  <c:v>64</c:v>
                </c:pt>
                <c:pt idx="69">
                  <c:v>65</c:v>
                </c:pt>
                <c:pt idx="70">
                  <c:v>66</c:v>
                </c:pt>
                <c:pt idx="71">
                  <c:v>66.137042857142859</c:v>
                </c:pt>
                <c:pt idx="72">
                  <c:v>67</c:v>
                </c:pt>
                <c:pt idx="73">
                  <c:v>68</c:v>
                </c:pt>
                <c:pt idx="74">
                  <c:v>69</c:v>
                </c:pt>
              </c:numCache>
            </c:numRef>
          </c:xVal>
          <c:yVal>
            <c:numRef>
              <c:f>FIGURES!$C$43:$C$117</c:f>
              <c:numCache>
                <c:formatCode>"$"#,##0</c:formatCode>
                <c:ptCount val="75"/>
                <c:pt idx="0">
                  <c:v>0</c:v>
                </c:pt>
                <c:pt idx="1">
                  <c:v>0</c:v>
                </c:pt>
                <c:pt idx="2">
                  <c:v>0</c:v>
                </c:pt>
                <c:pt idx="3">
                  <c:v>0</c:v>
                </c:pt>
                <c:pt idx="4">
                  <c:v>0</c:v>
                </c:pt>
                <c:pt idx="5">
                  <c:v>0</c:v>
                </c:pt>
                <c:pt idx="6">
                  <c:v>2500</c:v>
                </c:pt>
                <c:pt idx="7">
                  <c:v>2770.7566107142857</c:v>
                </c:pt>
                <c:pt idx="8">
                  <c:v>2917</c:v>
                </c:pt>
                <c:pt idx="9">
                  <c:v>3334</c:v>
                </c:pt>
                <c:pt idx="10">
                  <c:v>3751</c:v>
                </c:pt>
                <c:pt idx="11">
                  <c:v>4168</c:v>
                </c:pt>
                <c:pt idx="12">
                  <c:v>4585</c:v>
                </c:pt>
                <c:pt idx="13">
                  <c:v>5002</c:v>
                </c:pt>
                <c:pt idx="14">
                  <c:v>5419</c:v>
                </c:pt>
                <c:pt idx="15">
                  <c:v>5836</c:v>
                </c:pt>
                <c:pt idx="16">
                  <c:v>6253</c:v>
                </c:pt>
                <c:pt idx="17">
                  <c:v>6670</c:v>
                </c:pt>
                <c:pt idx="18">
                  <c:v>7087</c:v>
                </c:pt>
                <c:pt idx="19">
                  <c:v>7477.6965249999994</c:v>
                </c:pt>
                <c:pt idx="20">
                  <c:v>7500</c:v>
                </c:pt>
                <c:pt idx="21">
                  <c:v>7500</c:v>
                </c:pt>
                <c:pt idx="22">
                  <c:v>7500</c:v>
                </c:pt>
                <c:pt idx="23">
                  <c:v>7500</c:v>
                </c:pt>
                <c:pt idx="24">
                  <c:v>7500</c:v>
                </c:pt>
                <c:pt idx="25">
                  <c:v>7500</c:v>
                </c:pt>
                <c:pt idx="26">
                  <c:v>7500</c:v>
                </c:pt>
                <c:pt idx="27">
                  <c:v>7500</c:v>
                </c:pt>
                <c:pt idx="28">
                  <c:v>7500</c:v>
                </c:pt>
                <c:pt idx="29">
                  <c:v>7500</c:v>
                </c:pt>
                <c:pt idx="30">
                  <c:v>7500</c:v>
                </c:pt>
                <c:pt idx="31">
                  <c:v>7500</c:v>
                </c:pt>
                <c:pt idx="32">
                  <c:v>7500</c:v>
                </c:pt>
                <c:pt idx="33">
                  <c:v>7500</c:v>
                </c:pt>
                <c:pt idx="34">
                  <c:v>7500</c:v>
                </c:pt>
                <c:pt idx="35">
                  <c:v>7500</c:v>
                </c:pt>
                <c:pt idx="36">
                  <c:v>7500</c:v>
                </c:pt>
                <c:pt idx="37">
                  <c:v>7500</c:v>
                </c:pt>
                <c:pt idx="38">
                  <c:v>7500</c:v>
                </c:pt>
                <c:pt idx="39">
                  <c:v>7500</c:v>
                </c:pt>
                <c:pt idx="40">
                  <c:v>7500</c:v>
                </c:pt>
                <c:pt idx="41">
                  <c:v>7500</c:v>
                </c:pt>
                <c:pt idx="42">
                  <c:v>7500</c:v>
                </c:pt>
                <c:pt idx="43">
                  <c:v>7500</c:v>
                </c:pt>
                <c:pt idx="44">
                  <c:v>7500</c:v>
                </c:pt>
                <c:pt idx="45">
                  <c:v>7500</c:v>
                </c:pt>
                <c:pt idx="46">
                  <c:v>7500</c:v>
                </c:pt>
                <c:pt idx="47">
                  <c:v>7500</c:v>
                </c:pt>
                <c:pt idx="48">
                  <c:v>7500</c:v>
                </c:pt>
                <c:pt idx="49">
                  <c:v>7500</c:v>
                </c:pt>
                <c:pt idx="50">
                  <c:v>7500</c:v>
                </c:pt>
                <c:pt idx="51">
                  <c:v>7500</c:v>
                </c:pt>
                <c:pt idx="52">
                  <c:v>7500</c:v>
                </c:pt>
                <c:pt idx="53">
                  <c:v>7500</c:v>
                </c:pt>
                <c:pt idx="54">
                  <c:v>7500</c:v>
                </c:pt>
                <c:pt idx="55">
                  <c:v>7500</c:v>
                </c:pt>
                <c:pt idx="56">
                  <c:v>7500</c:v>
                </c:pt>
                <c:pt idx="57">
                  <c:v>7500</c:v>
                </c:pt>
                <c:pt idx="58">
                  <c:v>7500</c:v>
                </c:pt>
                <c:pt idx="59">
                  <c:v>7500</c:v>
                </c:pt>
                <c:pt idx="60">
                  <c:v>7500</c:v>
                </c:pt>
                <c:pt idx="61">
                  <c:v>7500</c:v>
                </c:pt>
                <c:pt idx="62">
                  <c:v>7500</c:v>
                </c:pt>
                <c:pt idx="63">
                  <c:v>7500</c:v>
                </c:pt>
                <c:pt idx="64">
                  <c:v>7500</c:v>
                </c:pt>
                <c:pt idx="65">
                  <c:v>7500</c:v>
                </c:pt>
                <c:pt idx="66">
                  <c:v>7500</c:v>
                </c:pt>
                <c:pt idx="67">
                  <c:v>7500</c:v>
                </c:pt>
                <c:pt idx="68">
                  <c:v>7500</c:v>
                </c:pt>
                <c:pt idx="69">
                  <c:v>7500</c:v>
                </c:pt>
                <c:pt idx="70">
                  <c:v>7500</c:v>
                </c:pt>
                <c:pt idx="71">
                  <c:v>7500</c:v>
                </c:pt>
                <c:pt idx="72">
                  <c:v>7500</c:v>
                </c:pt>
                <c:pt idx="73">
                  <c:v>7500</c:v>
                </c:pt>
                <c:pt idx="74">
                  <c:v>7500</c:v>
                </c:pt>
              </c:numCache>
            </c:numRef>
          </c:yVal>
        </c:ser>
        <c:ser>
          <c:idx val="1"/>
          <c:order val="1"/>
          <c:tx>
            <c:strRef>
              <c:f>FIGURES!$D$42</c:f>
              <c:strCache>
                <c:ptCount val="1"/>
                <c:pt idx="0">
                  <c:v>Value of benefits over conventional (air emissions externalities and oil premium)</c:v>
                </c:pt>
              </c:strCache>
            </c:strRef>
          </c:tx>
          <c:spPr>
            <a:ln>
              <a:noFill/>
            </a:ln>
          </c:spPr>
          <c:marker>
            <c:symbol val="circle"/>
            <c:size val="9"/>
            <c:spPr>
              <a:solidFill>
                <a:schemeClr val="accent1">
                  <a:lumMod val="75000"/>
                </a:schemeClr>
              </a:solidFill>
              <a:ln>
                <a:noFill/>
              </a:ln>
            </c:spPr>
          </c:marker>
          <c:errBars>
            <c:errDir val="y"/>
            <c:errBarType val="both"/>
            <c:errValType val="cust"/>
            <c:plus>
              <c:numRef>
                <c:f>FIGURES!$H$43:$H$117</c:f>
                <c:numCache>
                  <c:formatCode>General</c:formatCode>
                  <c:ptCount val="75"/>
                  <c:pt idx="1">
                    <c:v>0</c:v>
                  </c:pt>
                  <c:pt idx="7">
                    <c:v>262.75061195019362</c:v>
                  </c:pt>
                  <c:pt idx="19">
                    <c:v>772.01411979769273</c:v>
                  </c:pt>
                  <c:pt idx="71">
                    <c:v>1762.0450960669236</c:v>
                  </c:pt>
                </c:numCache>
              </c:numRef>
            </c:plus>
            <c:minus>
              <c:numRef>
                <c:f>FIGURES!$G$43:$G$117</c:f>
                <c:numCache>
                  <c:formatCode>General</c:formatCode>
                  <c:ptCount val="75"/>
                  <c:pt idx="1">
                    <c:v>77.120545981301348</c:v>
                  </c:pt>
                  <c:pt idx="7">
                    <c:v>543.11998648631243</c:v>
                  </c:pt>
                  <c:pt idx="19">
                    <c:v>1639.3536292718973</c:v>
                  </c:pt>
                  <c:pt idx="71">
                    <c:v>4278.7174691314358</c:v>
                  </c:pt>
                </c:numCache>
              </c:numRef>
            </c:minus>
            <c:spPr>
              <a:ln w="19050">
                <a:solidFill>
                  <a:schemeClr val="accent1">
                    <a:lumMod val="75000"/>
                  </a:schemeClr>
                </a:solidFill>
              </a:ln>
            </c:spPr>
          </c:errBars>
          <c:xVal>
            <c:numRef>
              <c:f>FIGURES!$B$43:$B$117</c:f>
              <c:numCache>
                <c:formatCode>0.0</c:formatCode>
                <c:ptCount val="75"/>
                <c:pt idx="0">
                  <c:v>0</c:v>
                </c:pt>
                <c:pt idx="1">
                  <c:v>1.1009142857142857</c:v>
                </c:pt>
                <c:pt idx="2">
                  <c:v>1</c:v>
                </c:pt>
                <c:pt idx="3">
                  <c:v>2</c:v>
                </c:pt>
                <c:pt idx="4">
                  <c:v>3</c:v>
                </c:pt>
                <c:pt idx="5">
                  <c:v>4</c:v>
                </c:pt>
                <c:pt idx="6">
                  <c:v>4</c:v>
                </c:pt>
                <c:pt idx="7">
                  <c:v>4.6492964285714287</c:v>
                </c:pt>
                <c:pt idx="8">
                  <c:v>5</c:v>
                </c:pt>
                <c:pt idx="9">
                  <c:v>6</c:v>
                </c:pt>
                <c:pt idx="10">
                  <c:v>7</c:v>
                </c:pt>
                <c:pt idx="11">
                  <c:v>8</c:v>
                </c:pt>
                <c:pt idx="12">
                  <c:v>9</c:v>
                </c:pt>
                <c:pt idx="13">
                  <c:v>10</c:v>
                </c:pt>
                <c:pt idx="14">
                  <c:v>11</c:v>
                </c:pt>
                <c:pt idx="15">
                  <c:v>12</c:v>
                </c:pt>
                <c:pt idx="16">
                  <c:v>13</c:v>
                </c:pt>
                <c:pt idx="17">
                  <c:v>14</c:v>
                </c:pt>
                <c:pt idx="18">
                  <c:v>15</c:v>
                </c:pt>
                <c:pt idx="19">
                  <c:v>15.945996428571428</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pt idx="53">
                  <c:v>49</c:v>
                </c:pt>
                <c:pt idx="54">
                  <c:v>50</c:v>
                </c:pt>
                <c:pt idx="55">
                  <c:v>51</c:v>
                </c:pt>
                <c:pt idx="56">
                  <c:v>52</c:v>
                </c:pt>
                <c:pt idx="57">
                  <c:v>53</c:v>
                </c:pt>
                <c:pt idx="58">
                  <c:v>54</c:v>
                </c:pt>
                <c:pt idx="59">
                  <c:v>55</c:v>
                </c:pt>
                <c:pt idx="60">
                  <c:v>56</c:v>
                </c:pt>
                <c:pt idx="61">
                  <c:v>57</c:v>
                </c:pt>
                <c:pt idx="62">
                  <c:v>58</c:v>
                </c:pt>
                <c:pt idx="63">
                  <c:v>59</c:v>
                </c:pt>
                <c:pt idx="64">
                  <c:v>60</c:v>
                </c:pt>
                <c:pt idx="65">
                  <c:v>61</c:v>
                </c:pt>
                <c:pt idx="66">
                  <c:v>62</c:v>
                </c:pt>
                <c:pt idx="67">
                  <c:v>63</c:v>
                </c:pt>
                <c:pt idx="68">
                  <c:v>64</c:v>
                </c:pt>
                <c:pt idx="69">
                  <c:v>65</c:v>
                </c:pt>
                <c:pt idx="70">
                  <c:v>66</c:v>
                </c:pt>
                <c:pt idx="71">
                  <c:v>66.137042857142859</c:v>
                </c:pt>
                <c:pt idx="72">
                  <c:v>67</c:v>
                </c:pt>
                <c:pt idx="73">
                  <c:v>68</c:v>
                </c:pt>
                <c:pt idx="74">
                  <c:v>69</c:v>
                </c:pt>
              </c:numCache>
            </c:numRef>
          </c:xVal>
          <c:yVal>
            <c:numRef>
              <c:f>FIGURES!$D$43:$D$117</c:f>
              <c:numCache>
                <c:formatCode>"$"#,##0</c:formatCode>
                <c:ptCount val="75"/>
                <c:pt idx="1">
                  <c:v>891.30735456785487</c:v>
                </c:pt>
                <c:pt idx="7">
                  <c:v>1168.7456865613763</c:v>
                </c:pt>
                <c:pt idx="19">
                  <c:v>655.64445914580938</c:v>
                </c:pt>
                <c:pt idx="71">
                  <c:v>134.05940223342714</c:v>
                </c:pt>
              </c:numCache>
            </c:numRef>
          </c:yVal>
        </c:ser>
        <c:axId val="138555392"/>
        <c:axId val="138557312"/>
      </c:scatterChart>
      <c:valAx>
        <c:axId val="138555392"/>
        <c:scaling>
          <c:orientation val="minMax"/>
          <c:max val="25"/>
          <c:min val="0"/>
        </c:scaling>
        <c:axPos val="b"/>
        <c:title>
          <c:tx>
            <c:rich>
              <a:bodyPr/>
              <a:lstStyle/>
              <a:p>
                <a:pPr>
                  <a:defRPr sz="1200"/>
                </a:pPr>
                <a:r>
                  <a:rPr lang="en-US" sz="1200"/>
                  <a:t>Battery Pack Size (kWh)</a:t>
                </a:r>
              </a:p>
            </c:rich>
          </c:tx>
          <c:layout>
            <c:manualLayout>
              <c:xMode val="edge"/>
              <c:yMode val="edge"/>
              <c:x val="0.40803405671851956"/>
              <c:y val="0.83928213382144856"/>
            </c:manualLayout>
          </c:layout>
        </c:title>
        <c:numFmt formatCode="0" sourceLinked="0"/>
        <c:minorTickMark val="out"/>
        <c:tickLblPos val="nextTo"/>
        <c:txPr>
          <a:bodyPr/>
          <a:lstStyle/>
          <a:p>
            <a:pPr>
              <a:defRPr sz="1100"/>
            </a:pPr>
            <a:endParaRPr lang="en-US"/>
          </a:p>
        </c:txPr>
        <c:crossAx val="138557312"/>
        <c:crosses val="autoZero"/>
        <c:crossBetween val="midCat"/>
        <c:majorUnit val="10"/>
        <c:minorUnit val="5"/>
      </c:valAx>
      <c:valAx>
        <c:axId val="138557312"/>
        <c:scaling>
          <c:orientation val="minMax"/>
          <c:min val="-2000"/>
        </c:scaling>
        <c:axPos val="l"/>
        <c:numFmt formatCode="&quot;$&quot;#,##0" sourceLinked="0"/>
        <c:majorTickMark val="in"/>
        <c:tickLblPos val="nextTo"/>
        <c:txPr>
          <a:bodyPr/>
          <a:lstStyle/>
          <a:p>
            <a:pPr>
              <a:defRPr sz="1200"/>
            </a:pPr>
            <a:endParaRPr lang="en-US"/>
          </a:p>
        </c:txPr>
        <c:crossAx val="138555392"/>
        <c:crosses val="autoZero"/>
        <c:crossBetween val="midCat"/>
        <c:majorUnit val="2000"/>
      </c:valAx>
    </c:plotArea>
    <c:legend>
      <c:legendPos val="r"/>
      <c:layout>
        <c:manualLayout>
          <c:xMode val="edge"/>
          <c:yMode val="edge"/>
          <c:x val="3.8142244414570182E-2"/>
          <c:y val="0.90203609318374278"/>
          <c:w val="0.93422111260482843"/>
          <c:h val="6.1718187030228543E-2"/>
        </c:manualLayout>
      </c:layout>
      <c:spPr>
        <a:solidFill>
          <a:schemeClr val="bg1">
            <a:lumMod val="85000"/>
          </a:schemeClr>
        </a:solidFill>
        <a:ln w="22225">
          <a:solidFill>
            <a:schemeClr val="bg1">
              <a:lumMod val="65000"/>
            </a:schemeClr>
          </a:solidFill>
        </a:ln>
      </c:spPr>
    </c:legend>
    <c:plotVisOnly val="1"/>
  </c:chart>
  <c:spPr>
    <a:ln>
      <a:noFill/>
    </a:ln>
  </c:spPr>
  <c:printSettings>
    <c:headerFooter/>
    <c:pageMargins b="0.75000000000000111" l="0.70000000000000062" r="0.70000000000000062" t="0.75000000000000111"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0091295935678292"/>
          <c:y val="0.15510895807362771"/>
          <c:w val="0.85713094859394268"/>
          <c:h val="0.6708131223076077"/>
        </c:manualLayout>
      </c:layout>
      <c:scatterChart>
        <c:scatterStyle val="lineMarker"/>
        <c:ser>
          <c:idx val="0"/>
          <c:order val="0"/>
          <c:tx>
            <c:strRef>
              <c:f>FIGURES!$C$42</c:f>
              <c:strCache>
                <c:ptCount val="1"/>
                <c:pt idx="0">
                  <c:v>Federal Tax Credit (American Recovery and Reinvestment Act 2009)</c:v>
                </c:pt>
              </c:strCache>
            </c:strRef>
          </c:tx>
          <c:spPr>
            <a:ln>
              <a:solidFill>
                <a:srgbClr val="C00000"/>
              </a:solidFill>
            </a:ln>
          </c:spPr>
          <c:marker>
            <c:symbol val="none"/>
          </c:marker>
          <c:xVal>
            <c:numRef>
              <c:f>FIGURES!$B$43:$B$117</c:f>
              <c:numCache>
                <c:formatCode>0.0</c:formatCode>
                <c:ptCount val="75"/>
                <c:pt idx="0">
                  <c:v>0</c:v>
                </c:pt>
                <c:pt idx="1">
                  <c:v>1.1009142857142857</c:v>
                </c:pt>
                <c:pt idx="2">
                  <c:v>1</c:v>
                </c:pt>
                <c:pt idx="3">
                  <c:v>2</c:v>
                </c:pt>
                <c:pt idx="4">
                  <c:v>3</c:v>
                </c:pt>
                <c:pt idx="5">
                  <c:v>4</c:v>
                </c:pt>
                <c:pt idx="6">
                  <c:v>4</c:v>
                </c:pt>
                <c:pt idx="7">
                  <c:v>4.6492964285714287</c:v>
                </c:pt>
                <c:pt idx="8">
                  <c:v>5</c:v>
                </c:pt>
                <c:pt idx="9">
                  <c:v>6</c:v>
                </c:pt>
                <c:pt idx="10">
                  <c:v>7</c:v>
                </c:pt>
                <c:pt idx="11">
                  <c:v>8</c:v>
                </c:pt>
                <c:pt idx="12">
                  <c:v>9</c:v>
                </c:pt>
                <c:pt idx="13">
                  <c:v>10</c:v>
                </c:pt>
                <c:pt idx="14">
                  <c:v>11</c:v>
                </c:pt>
                <c:pt idx="15">
                  <c:v>12</c:v>
                </c:pt>
                <c:pt idx="16">
                  <c:v>13</c:v>
                </c:pt>
                <c:pt idx="17">
                  <c:v>14</c:v>
                </c:pt>
                <c:pt idx="18">
                  <c:v>15</c:v>
                </c:pt>
                <c:pt idx="19">
                  <c:v>15.945996428571428</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pt idx="53">
                  <c:v>49</c:v>
                </c:pt>
                <c:pt idx="54">
                  <c:v>50</c:v>
                </c:pt>
                <c:pt idx="55">
                  <c:v>51</c:v>
                </c:pt>
                <c:pt idx="56">
                  <c:v>52</c:v>
                </c:pt>
                <c:pt idx="57">
                  <c:v>53</c:v>
                </c:pt>
                <c:pt idx="58">
                  <c:v>54</c:v>
                </c:pt>
                <c:pt idx="59">
                  <c:v>55</c:v>
                </c:pt>
                <c:pt idx="60">
                  <c:v>56</c:v>
                </c:pt>
                <c:pt idx="61">
                  <c:v>57</c:v>
                </c:pt>
                <c:pt idx="62">
                  <c:v>58</c:v>
                </c:pt>
                <c:pt idx="63">
                  <c:v>59</c:v>
                </c:pt>
                <c:pt idx="64">
                  <c:v>60</c:v>
                </c:pt>
                <c:pt idx="65">
                  <c:v>61</c:v>
                </c:pt>
                <c:pt idx="66">
                  <c:v>62</c:v>
                </c:pt>
                <c:pt idx="67">
                  <c:v>63</c:v>
                </c:pt>
                <c:pt idx="68">
                  <c:v>64</c:v>
                </c:pt>
                <c:pt idx="69">
                  <c:v>65</c:v>
                </c:pt>
                <c:pt idx="70">
                  <c:v>66</c:v>
                </c:pt>
                <c:pt idx="71">
                  <c:v>66.137042857142859</c:v>
                </c:pt>
                <c:pt idx="72">
                  <c:v>67</c:v>
                </c:pt>
                <c:pt idx="73">
                  <c:v>68</c:v>
                </c:pt>
                <c:pt idx="74">
                  <c:v>69</c:v>
                </c:pt>
              </c:numCache>
            </c:numRef>
          </c:xVal>
          <c:yVal>
            <c:numRef>
              <c:f>FIGURES!$C$43:$C$117</c:f>
              <c:numCache>
                <c:formatCode>"$"#,##0</c:formatCode>
                <c:ptCount val="75"/>
                <c:pt idx="0">
                  <c:v>0</c:v>
                </c:pt>
                <c:pt idx="1">
                  <c:v>0</c:v>
                </c:pt>
                <c:pt idx="2">
                  <c:v>0</c:v>
                </c:pt>
                <c:pt idx="3">
                  <c:v>0</c:v>
                </c:pt>
                <c:pt idx="4">
                  <c:v>0</c:v>
                </c:pt>
                <c:pt idx="5">
                  <c:v>0</c:v>
                </c:pt>
                <c:pt idx="6">
                  <c:v>2500</c:v>
                </c:pt>
                <c:pt idx="7">
                  <c:v>2770.7566107142857</c:v>
                </c:pt>
                <c:pt idx="8">
                  <c:v>2917</c:v>
                </c:pt>
                <c:pt idx="9">
                  <c:v>3334</c:v>
                </c:pt>
                <c:pt idx="10">
                  <c:v>3751</c:v>
                </c:pt>
                <c:pt idx="11">
                  <c:v>4168</c:v>
                </c:pt>
                <c:pt idx="12">
                  <c:v>4585</c:v>
                </c:pt>
                <c:pt idx="13">
                  <c:v>5002</c:v>
                </c:pt>
                <c:pt idx="14">
                  <c:v>5419</c:v>
                </c:pt>
                <c:pt idx="15">
                  <c:v>5836</c:v>
                </c:pt>
                <c:pt idx="16">
                  <c:v>6253</c:v>
                </c:pt>
                <c:pt idx="17">
                  <c:v>6670</c:v>
                </c:pt>
                <c:pt idx="18">
                  <c:v>7087</c:v>
                </c:pt>
                <c:pt idx="19">
                  <c:v>7477.6965249999994</c:v>
                </c:pt>
                <c:pt idx="20">
                  <c:v>7500</c:v>
                </c:pt>
                <c:pt idx="21">
                  <c:v>7500</c:v>
                </c:pt>
                <c:pt idx="22">
                  <c:v>7500</c:v>
                </c:pt>
                <c:pt idx="23">
                  <c:v>7500</c:v>
                </c:pt>
                <c:pt idx="24">
                  <c:v>7500</c:v>
                </c:pt>
                <c:pt idx="25">
                  <c:v>7500</c:v>
                </c:pt>
                <c:pt idx="26">
                  <c:v>7500</c:v>
                </c:pt>
                <c:pt idx="27">
                  <c:v>7500</c:v>
                </c:pt>
                <c:pt idx="28">
                  <c:v>7500</c:v>
                </c:pt>
                <c:pt idx="29">
                  <c:v>7500</c:v>
                </c:pt>
                <c:pt idx="30">
                  <c:v>7500</c:v>
                </c:pt>
                <c:pt idx="31">
                  <c:v>7500</c:v>
                </c:pt>
                <c:pt idx="32">
                  <c:v>7500</c:v>
                </c:pt>
                <c:pt idx="33">
                  <c:v>7500</c:v>
                </c:pt>
                <c:pt idx="34">
                  <c:v>7500</c:v>
                </c:pt>
                <c:pt idx="35">
                  <c:v>7500</c:v>
                </c:pt>
                <c:pt idx="36">
                  <c:v>7500</c:v>
                </c:pt>
                <c:pt idx="37">
                  <c:v>7500</c:v>
                </c:pt>
                <c:pt idx="38">
                  <c:v>7500</c:v>
                </c:pt>
                <c:pt idx="39">
                  <c:v>7500</c:v>
                </c:pt>
                <c:pt idx="40">
                  <c:v>7500</c:v>
                </c:pt>
                <c:pt idx="41">
                  <c:v>7500</c:v>
                </c:pt>
                <c:pt idx="42">
                  <c:v>7500</c:v>
                </c:pt>
                <c:pt idx="43">
                  <c:v>7500</c:v>
                </c:pt>
                <c:pt idx="44">
                  <c:v>7500</c:v>
                </c:pt>
                <c:pt idx="45">
                  <c:v>7500</c:v>
                </c:pt>
                <c:pt idx="46">
                  <c:v>7500</c:v>
                </c:pt>
                <c:pt idx="47">
                  <c:v>7500</c:v>
                </c:pt>
                <c:pt idx="48">
                  <c:v>7500</c:v>
                </c:pt>
                <c:pt idx="49">
                  <c:v>7500</c:v>
                </c:pt>
                <c:pt idx="50">
                  <c:v>7500</c:v>
                </c:pt>
                <c:pt idx="51">
                  <c:v>7500</c:v>
                </c:pt>
                <c:pt idx="52">
                  <c:v>7500</c:v>
                </c:pt>
                <c:pt idx="53">
                  <c:v>7500</c:v>
                </c:pt>
                <c:pt idx="54">
                  <c:v>7500</c:v>
                </c:pt>
                <c:pt idx="55">
                  <c:v>7500</c:v>
                </c:pt>
                <c:pt idx="56">
                  <c:v>7500</c:v>
                </c:pt>
                <c:pt idx="57">
                  <c:v>7500</c:v>
                </c:pt>
                <c:pt idx="58">
                  <c:v>7500</c:v>
                </c:pt>
                <c:pt idx="59">
                  <c:v>7500</c:v>
                </c:pt>
                <c:pt idx="60">
                  <c:v>7500</c:v>
                </c:pt>
                <c:pt idx="61">
                  <c:v>7500</c:v>
                </c:pt>
                <c:pt idx="62">
                  <c:v>7500</c:v>
                </c:pt>
                <c:pt idx="63">
                  <c:v>7500</c:v>
                </c:pt>
                <c:pt idx="64">
                  <c:v>7500</c:v>
                </c:pt>
                <c:pt idx="65">
                  <c:v>7500</c:v>
                </c:pt>
                <c:pt idx="66">
                  <c:v>7500</c:v>
                </c:pt>
                <c:pt idx="67">
                  <c:v>7500</c:v>
                </c:pt>
                <c:pt idx="68">
                  <c:v>7500</c:v>
                </c:pt>
                <c:pt idx="69">
                  <c:v>7500</c:v>
                </c:pt>
                <c:pt idx="70">
                  <c:v>7500</c:v>
                </c:pt>
                <c:pt idx="71">
                  <c:v>7500</c:v>
                </c:pt>
                <c:pt idx="72">
                  <c:v>7500</c:v>
                </c:pt>
                <c:pt idx="73">
                  <c:v>7500</c:v>
                </c:pt>
                <c:pt idx="74">
                  <c:v>7500</c:v>
                </c:pt>
              </c:numCache>
            </c:numRef>
          </c:yVal>
        </c:ser>
        <c:ser>
          <c:idx val="1"/>
          <c:order val="1"/>
          <c:tx>
            <c:strRef>
              <c:f>FIGURES!$D$42</c:f>
              <c:strCache>
                <c:ptCount val="1"/>
                <c:pt idx="0">
                  <c:v>Value of benefits over conventional (air emissions externalities and oil premium)</c:v>
                </c:pt>
              </c:strCache>
            </c:strRef>
          </c:tx>
          <c:spPr>
            <a:ln>
              <a:noFill/>
            </a:ln>
          </c:spPr>
          <c:marker>
            <c:symbol val="circle"/>
            <c:size val="7"/>
            <c:spPr>
              <a:solidFill>
                <a:schemeClr val="accent1">
                  <a:lumMod val="75000"/>
                </a:schemeClr>
              </a:solidFill>
              <a:ln>
                <a:noFill/>
              </a:ln>
            </c:spPr>
          </c:marker>
          <c:errBars>
            <c:errDir val="y"/>
            <c:errBarType val="both"/>
            <c:errValType val="cust"/>
            <c:plus>
              <c:numRef>
                <c:f>FIGURES!$H$43:$H$117</c:f>
                <c:numCache>
                  <c:formatCode>General</c:formatCode>
                  <c:ptCount val="75"/>
                  <c:pt idx="1">
                    <c:v>0</c:v>
                  </c:pt>
                  <c:pt idx="7">
                    <c:v>262.75061195019362</c:v>
                  </c:pt>
                  <c:pt idx="19">
                    <c:v>772.01411979769273</c:v>
                  </c:pt>
                  <c:pt idx="71">
                    <c:v>1762.0450960669236</c:v>
                  </c:pt>
                </c:numCache>
              </c:numRef>
            </c:plus>
            <c:minus>
              <c:numRef>
                <c:f>FIGURES!$G$43:$G$117</c:f>
                <c:numCache>
                  <c:formatCode>General</c:formatCode>
                  <c:ptCount val="75"/>
                  <c:pt idx="1">
                    <c:v>77.120545981301348</c:v>
                  </c:pt>
                  <c:pt idx="7">
                    <c:v>543.11998648631243</c:v>
                  </c:pt>
                  <c:pt idx="19">
                    <c:v>1639.3536292718973</c:v>
                  </c:pt>
                  <c:pt idx="71">
                    <c:v>4278.7174691314358</c:v>
                  </c:pt>
                </c:numCache>
              </c:numRef>
            </c:minus>
            <c:spPr>
              <a:ln w="19050">
                <a:solidFill>
                  <a:schemeClr val="accent1">
                    <a:lumMod val="75000"/>
                  </a:schemeClr>
                </a:solidFill>
              </a:ln>
            </c:spPr>
          </c:errBars>
          <c:xVal>
            <c:numRef>
              <c:f>FIGURES!$B$43:$B$117</c:f>
              <c:numCache>
                <c:formatCode>0.0</c:formatCode>
                <c:ptCount val="75"/>
                <c:pt idx="0">
                  <c:v>0</c:v>
                </c:pt>
                <c:pt idx="1">
                  <c:v>1.1009142857142857</c:v>
                </c:pt>
                <c:pt idx="2">
                  <c:v>1</c:v>
                </c:pt>
                <c:pt idx="3">
                  <c:v>2</c:v>
                </c:pt>
                <c:pt idx="4">
                  <c:v>3</c:v>
                </c:pt>
                <c:pt idx="5">
                  <c:v>4</c:v>
                </c:pt>
                <c:pt idx="6">
                  <c:v>4</c:v>
                </c:pt>
                <c:pt idx="7">
                  <c:v>4.6492964285714287</c:v>
                </c:pt>
                <c:pt idx="8">
                  <c:v>5</c:v>
                </c:pt>
                <c:pt idx="9">
                  <c:v>6</c:v>
                </c:pt>
                <c:pt idx="10">
                  <c:v>7</c:v>
                </c:pt>
                <c:pt idx="11">
                  <c:v>8</c:v>
                </c:pt>
                <c:pt idx="12">
                  <c:v>9</c:v>
                </c:pt>
                <c:pt idx="13">
                  <c:v>10</c:v>
                </c:pt>
                <c:pt idx="14">
                  <c:v>11</c:v>
                </c:pt>
                <c:pt idx="15">
                  <c:v>12</c:v>
                </c:pt>
                <c:pt idx="16">
                  <c:v>13</c:v>
                </c:pt>
                <c:pt idx="17">
                  <c:v>14</c:v>
                </c:pt>
                <c:pt idx="18">
                  <c:v>15</c:v>
                </c:pt>
                <c:pt idx="19">
                  <c:v>15.945996428571428</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pt idx="53">
                  <c:v>49</c:v>
                </c:pt>
                <c:pt idx="54">
                  <c:v>50</c:v>
                </c:pt>
                <c:pt idx="55">
                  <c:v>51</c:v>
                </c:pt>
                <c:pt idx="56">
                  <c:v>52</c:v>
                </c:pt>
                <c:pt idx="57">
                  <c:v>53</c:v>
                </c:pt>
                <c:pt idx="58">
                  <c:v>54</c:v>
                </c:pt>
                <c:pt idx="59">
                  <c:v>55</c:v>
                </c:pt>
                <c:pt idx="60">
                  <c:v>56</c:v>
                </c:pt>
                <c:pt idx="61">
                  <c:v>57</c:v>
                </c:pt>
                <c:pt idx="62">
                  <c:v>58</c:v>
                </c:pt>
                <c:pt idx="63">
                  <c:v>59</c:v>
                </c:pt>
                <c:pt idx="64">
                  <c:v>60</c:v>
                </c:pt>
                <c:pt idx="65">
                  <c:v>61</c:v>
                </c:pt>
                <c:pt idx="66">
                  <c:v>62</c:v>
                </c:pt>
                <c:pt idx="67">
                  <c:v>63</c:v>
                </c:pt>
                <c:pt idx="68">
                  <c:v>64</c:v>
                </c:pt>
                <c:pt idx="69">
                  <c:v>65</c:v>
                </c:pt>
                <c:pt idx="70">
                  <c:v>66</c:v>
                </c:pt>
                <c:pt idx="71">
                  <c:v>66.137042857142859</c:v>
                </c:pt>
                <c:pt idx="72">
                  <c:v>67</c:v>
                </c:pt>
                <c:pt idx="73">
                  <c:v>68</c:v>
                </c:pt>
                <c:pt idx="74">
                  <c:v>69</c:v>
                </c:pt>
              </c:numCache>
            </c:numRef>
          </c:xVal>
          <c:yVal>
            <c:numRef>
              <c:f>FIGURES!$D$43:$D$117</c:f>
              <c:numCache>
                <c:formatCode>"$"#,##0</c:formatCode>
                <c:ptCount val="75"/>
                <c:pt idx="1">
                  <c:v>891.30735456785487</c:v>
                </c:pt>
                <c:pt idx="7">
                  <c:v>1168.7456865613763</c:v>
                </c:pt>
                <c:pt idx="19">
                  <c:v>655.64445914580938</c:v>
                </c:pt>
                <c:pt idx="71">
                  <c:v>134.05940223342714</c:v>
                </c:pt>
              </c:numCache>
            </c:numRef>
          </c:yVal>
        </c:ser>
        <c:axId val="138574464"/>
        <c:axId val="138724864"/>
      </c:scatterChart>
      <c:valAx>
        <c:axId val="138574464"/>
        <c:scaling>
          <c:orientation val="minMax"/>
          <c:max val="70"/>
        </c:scaling>
        <c:axPos val="b"/>
        <c:title>
          <c:tx>
            <c:rich>
              <a:bodyPr/>
              <a:lstStyle/>
              <a:p>
                <a:pPr>
                  <a:defRPr sz="1200"/>
                </a:pPr>
                <a:r>
                  <a:rPr lang="en-US" sz="1200"/>
                  <a:t>Battery Pack Size (kWh)</a:t>
                </a:r>
              </a:p>
            </c:rich>
          </c:tx>
          <c:layout>
            <c:manualLayout>
              <c:xMode val="edge"/>
              <c:yMode val="edge"/>
              <c:x val="0.15424390569743329"/>
              <c:y val="0.83928213382144856"/>
            </c:manualLayout>
          </c:layout>
        </c:title>
        <c:numFmt formatCode="0" sourceLinked="0"/>
        <c:minorTickMark val="out"/>
        <c:tickLblPos val="nextTo"/>
        <c:txPr>
          <a:bodyPr/>
          <a:lstStyle/>
          <a:p>
            <a:pPr>
              <a:defRPr sz="1100" b="1">
                <a:solidFill>
                  <a:schemeClr val="tx1">
                    <a:lumMod val="50000"/>
                    <a:lumOff val="50000"/>
                  </a:schemeClr>
                </a:solidFill>
              </a:defRPr>
            </a:pPr>
            <a:endParaRPr lang="en-US"/>
          </a:p>
        </c:txPr>
        <c:crossAx val="138724864"/>
        <c:crosses val="autoZero"/>
        <c:crossBetween val="midCat"/>
        <c:minorUnit val="5"/>
      </c:valAx>
      <c:valAx>
        <c:axId val="138724864"/>
        <c:scaling>
          <c:orientation val="minMax"/>
          <c:max val="10000"/>
          <c:min val="-6000"/>
        </c:scaling>
        <c:axPos val="l"/>
        <c:numFmt formatCode="&quot;$&quot;#,##0" sourceLinked="0"/>
        <c:tickLblPos val="nextTo"/>
        <c:txPr>
          <a:bodyPr/>
          <a:lstStyle/>
          <a:p>
            <a:pPr>
              <a:defRPr sz="1000" b="1" baseline="0">
                <a:solidFill>
                  <a:schemeClr val="tx1">
                    <a:lumMod val="50000"/>
                    <a:lumOff val="50000"/>
                  </a:schemeClr>
                </a:solidFill>
              </a:defRPr>
            </a:pPr>
            <a:endParaRPr lang="en-US"/>
          </a:p>
        </c:txPr>
        <c:crossAx val="138574464"/>
        <c:crosses val="autoZero"/>
        <c:crossBetween val="midCat"/>
        <c:majorUnit val="2000"/>
      </c:valAx>
      <c:spPr>
        <a:solidFill>
          <a:schemeClr val="bg1">
            <a:lumMod val="95000"/>
          </a:schemeClr>
        </a:solidFill>
      </c:spPr>
    </c:plotArea>
    <c:legend>
      <c:legendPos val="r"/>
      <c:layout>
        <c:manualLayout>
          <c:xMode val="edge"/>
          <c:yMode val="edge"/>
          <c:x val="1.6534404208453819E-2"/>
          <c:y val="0.91005212524787071"/>
          <c:w val="0.64280528967306361"/>
          <c:h val="6.1718187030228577E-2"/>
        </c:manualLayout>
      </c:layout>
      <c:spPr>
        <a:solidFill>
          <a:schemeClr val="bg1">
            <a:lumMod val="85000"/>
          </a:schemeClr>
        </a:solidFill>
        <a:ln w="22225">
          <a:solidFill>
            <a:schemeClr val="bg1">
              <a:lumMod val="65000"/>
            </a:schemeClr>
          </a:solidFill>
        </a:ln>
      </c:spPr>
      <c:txPr>
        <a:bodyPr/>
        <a:lstStyle/>
        <a:p>
          <a:pPr>
            <a:defRPr b="1"/>
          </a:pPr>
          <a:endParaRPr lang="en-US"/>
        </a:p>
      </c:txPr>
    </c:legend>
    <c:plotVisOnly val="1"/>
  </c:chart>
  <c:spPr>
    <a:solidFill>
      <a:schemeClr val="bg1">
        <a:lumMod val="95000"/>
      </a:schemeClr>
    </a:solidFill>
    <a:ln>
      <a:noFill/>
    </a:ln>
  </c:spPr>
  <c:printSettings>
    <c:headerFooter/>
    <c:pageMargins b="0.75000000000000133" l="0.70000000000000062" r="0.70000000000000062" t="0.75000000000000133"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a:pPr>
            <a:r>
              <a:rPr lang="en-US" sz="1200"/>
              <a:t>Plug-in Vehicle Tax Credits with Estimated Life Cycle Air Emissions and Oil Displacement Benefits over Conventional Vehicles</a:t>
            </a:r>
          </a:p>
        </c:rich>
      </c:tx>
      <c:layout>
        <c:manualLayout>
          <c:xMode val="edge"/>
          <c:yMode val="edge"/>
          <c:x val="0.11938664435722676"/>
          <c:y val="1.1631659239399395E-2"/>
        </c:manualLayout>
      </c:layout>
    </c:title>
    <c:plotArea>
      <c:layout>
        <c:manualLayout>
          <c:layoutTarget val="inner"/>
          <c:xMode val="edge"/>
          <c:yMode val="edge"/>
          <c:x val="0.2583674762744409"/>
          <c:y val="0.2930483785461343"/>
          <c:w val="0.72447218560816951"/>
          <c:h val="0.56858076643228583"/>
        </c:manualLayout>
      </c:layout>
      <c:barChart>
        <c:barDir val="col"/>
        <c:grouping val="clustered"/>
        <c:ser>
          <c:idx val="0"/>
          <c:order val="0"/>
          <c:tx>
            <c:strRef>
              <c:f>FIGURES!$C$119</c:f>
              <c:strCache>
                <c:ptCount val="1"/>
                <c:pt idx="0">
                  <c:v>Tax Credit</c:v>
                </c:pt>
              </c:strCache>
            </c:strRef>
          </c:tx>
          <c:spPr>
            <a:solidFill>
              <a:schemeClr val="accent2">
                <a:lumMod val="60000"/>
                <a:lumOff val="40000"/>
              </a:schemeClr>
            </a:solidFill>
          </c:spPr>
          <c:cat>
            <c:strRef>
              <c:f>FIGURES!$B$120:$B$123</c:f>
              <c:strCache>
                <c:ptCount val="4"/>
                <c:pt idx="0">
                  <c:v>HEV</c:v>
                </c:pt>
                <c:pt idx="1">
                  <c:v>PHEV20</c:v>
                </c:pt>
                <c:pt idx="2">
                  <c:v>PHEV60</c:v>
                </c:pt>
                <c:pt idx="3">
                  <c:v>BEV240</c:v>
                </c:pt>
              </c:strCache>
            </c:strRef>
          </c:cat>
          <c:val>
            <c:numRef>
              <c:f>FIGURES!$C$120:$C$123</c:f>
              <c:numCache>
                <c:formatCode>"$"#,##0</c:formatCode>
                <c:ptCount val="4"/>
                <c:pt idx="0">
                  <c:v>0</c:v>
                </c:pt>
                <c:pt idx="1">
                  <c:v>2770.7566107142857</c:v>
                </c:pt>
                <c:pt idx="2">
                  <c:v>7477.6965249999994</c:v>
                </c:pt>
                <c:pt idx="3">
                  <c:v>7500</c:v>
                </c:pt>
              </c:numCache>
            </c:numRef>
          </c:val>
        </c:ser>
        <c:gapWidth val="75"/>
        <c:axId val="138726784"/>
        <c:axId val="138839552"/>
      </c:barChart>
      <c:lineChart>
        <c:grouping val="standard"/>
        <c:ser>
          <c:idx val="1"/>
          <c:order val="1"/>
          <c:tx>
            <c:strRef>
              <c:f>FIGURES!$D$119</c:f>
              <c:strCache>
                <c:ptCount val="1"/>
                <c:pt idx="0">
                  <c:v>Benefits</c:v>
                </c:pt>
              </c:strCache>
            </c:strRef>
          </c:tx>
          <c:spPr>
            <a:ln>
              <a:noFill/>
              <a:prstDash val="sysDot"/>
            </a:ln>
          </c:spPr>
          <c:marker>
            <c:symbol val="circle"/>
            <c:size val="8"/>
            <c:spPr>
              <a:solidFill>
                <a:schemeClr val="tx2"/>
              </a:solidFill>
              <a:ln>
                <a:noFill/>
              </a:ln>
            </c:spPr>
          </c:marker>
          <c:errBars>
            <c:errDir val="y"/>
            <c:errBarType val="both"/>
            <c:errValType val="cust"/>
            <c:plus>
              <c:numRef>
                <c:f>FIGURES!$H$120:$H$123</c:f>
                <c:numCache>
                  <c:formatCode>General</c:formatCode>
                  <c:ptCount val="4"/>
                  <c:pt idx="0">
                    <c:v>0</c:v>
                  </c:pt>
                  <c:pt idx="1">
                    <c:v>262.75061195019362</c:v>
                  </c:pt>
                  <c:pt idx="2">
                    <c:v>772.01411979769273</c:v>
                  </c:pt>
                  <c:pt idx="3">
                    <c:v>1762.0450960669236</c:v>
                  </c:pt>
                </c:numCache>
              </c:numRef>
            </c:plus>
            <c:minus>
              <c:numRef>
                <c:f>FIGURES!$G$120:$G$123</c:f>
                <c:numCache>
                  <c:formatCode>General</c:formatCode>
                  <c:ptCount val="4"/>
                  <c:pt idx="0">
                    <c:v>77.120545981301348</c:v>
                  </c:pt>
                  <c:pt idx="1">
                    <c:v>543.11998648631243</c:v>
                  </c:pt>
                  <c:pt idx="2">
                    <c:v>1639.3536292718973</c:v>
                  </c:pt>
                  <c:pt idx="3">
                    <c:v>4278.7174691314358</c:v>
                  </c:pt>
                </c:numCache>
              </c:numRef>
            </c:minus>
            <c:spPr>
              <a:ln w="19050">
                <a:solidFill>
                  <a:schemeClr val="tx2"/>
                </a:solidFill>
              </a:ln>
            </c:spPr>
          </c:errBars>
          <c:cat>
            <c:strRef>
              <c:f>FIGURES!$B$120:$B$123</c:f>
              <c:strCache>
                <c:ptCount val="4"/>
                <c:pt idx="0">
                  <c:v>HEV</c:v>
                </c:pt>
                <c:pt idx="1">
                  <c:v>PHEV20</c:v>
                </c:pt>
                <c:pt idx="2">
                  <c:v>PHEV60</c:v>
                </c:pt>
                <c:pt idx="3">
                  <c:v>BEV240</c:v>
                </c:pt>
              </c:strCache>
            </c:strRef>
          </c:cat>
          <c:val>
            <c:numRef>
              <c:f>FIGURES!$D$120:$D$123</c:f>
              <c:numCache>
                <c:formatCode>"$"#,##0</c:formatCode>
                <c:ptCount val="4"/>
                <c:pt idx="0">
                  <c:v>891.30735456785487</c:v>
                </c:pt>
                <c:pt idx="1">
                  <c:v>1168.7456865613763</c:v>
                </c:pt>
                <c:pt idx="2">
                  <c:v>655.64445914580938</c:v>
                </c:pt>
                <c:pt idx="3">
                  <c:v>134.05940223342714</c:v>
                </c:pt>
              </c:numCache>
            </c:numRef>
          </c:val>
        </c:ser>
        <c:marker val="1"/>
        <c:axId val="138726784"/>
        <c:axId val="138839552"/>
      </c:lineChart>
      <c:catAx>
        <c:axId val="138726784"/>
        <c:scaling>
          <c:orientation val="minMax"/>
        </c:scaling>
        <c:axPos val="b"/>
        <c:title>
          <c:tx>
            <c:rich>
              <a:bodyPr/>
              <a:lstStyle/>
              <a:p>
                <a:pPr>
                  <a:defRPr/>
                </a:pPr>
                <a:r>
                  <a:rPr lang="en-US"/>
                  <a:t>Vehicle Type</a:t>
                </a:r>
              </a:p>
            </c:rich>
          </c:tx>
          <c:layout/>
        </c:title>
        <c:majorTickMark val="none"/>
        <c:tickLblPos val="low"/>
        <c:crossAx val="138839552"/>
        <c:crosses val="autoZero"/>
        <c:auto val="1"/>
        <c:lblAlgn val="ctr"/>
        <c:lblOffset val="100"/>
      </c:catAx>
      <c:valAx>
        <c:axId val="138839552"/>
        <c:scaling>
          <c:orientation val="minMax"/>
          <c:max val="8000"/>
          <c:min val="-6000"/>
        </c:scaling>
        <c:axPos val="l"/>
        <c:majorGridlines>
          <c:spPr>
            <a:ln>
              <a:solidFill>
                <a:schemeClr val="bg1">
                  <a:lumMod val="75000"/>
                </a:schemeClr>
              </a:solidFill>
            </a:ln>
          </c:spPr>
        </c:majorGridlines>
        <c:title>
          <c:tx>
            <c:rich>
              <a:bodyPr rot="-5400000" vert="horz"/>
              <a:lstStyle/>
              <a:p>
                <a:pPr>
                  <a:defRPr>
                    <a:solidFill>
                      <a:schemeClr val="tx1">
                        <a:lumMod val="65000"/>
                        <a:lumOff val="35000"/>
                      </a:schemeClr>
                    </a:solidFill>
                  </a:defRPr>
                </a:pPr>
                <a:r>
                  <a:rPr lang="en-US">
                    <a:solidFill>
                      <a:schemeClr val="tx1">
                        <a:lumMod val="65000"/>
                        <a:lumOff val="35000"/>
                      </a:schemeClr>
                    </a:solidFill>
                  </a:rPr>
                  <a:t>Year 2010 US Dollars</a:t>
                </a:r>
              </a:p>
            </c:rich>
          </c:tx>
          <c:layout/>
        </c:title>
        <c:numFmt formatCode="&quot;$&quot;#,##0" sourceLinked="1"/>
        <c:majorTickMark val="none"/>
        <c:tickLblPos val="nextTo"/>
        <c:spPr>
          <a:ln>
            <a:noFill/>
          </a:ln>
        </c:spPr>
        <c:txPr>
          <a:bodyPr/>
          <a:lstStyle/>
          <a:p>
            <a:pPr>
              <a:defRPr>
                <a:solidFill>
                  <a:schemeClr val="tx1">
                    <a:lumMod val="65000"/>
                    <a:lumOff val="35000"/>
                  </a:schemeClr>
                </a:solidFill>
              </a:defRPr>
            </a:pPr>
            <a:endParaRPr lang="en-US"/>
          </a:p>
        </c:txPr>
        <c:crossAx val="138726784"/>
        <c:crosses val="autoZero"/>
        <c:crossBetween val="between"/>
      </c:valAx>
      <c:spPr>
        <a:noFill/>
      </c:spPr>
    </c:plotArea>
    <c:legend>
      <c:legendPos val="r"/>
      <c:layout>
        <c:manualLayout>
          <c:xMode val="edge"/>
          <c:yMode val="edge"/>
          <c:x val="0.31100184990603519"/>
          <c:y val="0.29236919605545908"/>
          <c:w val="0.22768190013726469"/>
          <c:h val="8.3754053768945416E-2"/>
        </c:manualLayout>
      </c:layout>
      <c:spPr>
        <a:noFill/>
      </c:spPr>
      <c:txPr>
        <a:bodyPr/>
        <a:lstStyle/>
        <a:p>
          <a:pPr>
            <a:defRPr sz="900"/>
          </a:pPr>
          <a:endParaRPr lang="en-US"/>
        </a:p>
      </c:txPr>
    </c:legend>
    <c:plotVisOnly val="1"/>
    <c:dispBlanksAs val="gap"/>
  </c:chart>
  <c:spPr>
    <a:solidFill>
      <a:schemeClr val="bg1">
        <a:lumMod val="95000"/>
      </a:schemeClr>
    </a:solidFill>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Vehicle Tailpipe Damages ($/vehicle)</a:t>
            </a:r>
          </a:p>
        </c:rich>
      </c:tx>
    </c:title>
    <c:plotArea>
      <c:layout/>
      <c:barChart>
        <c:barDir val="col"/>
        <c:grouping val="stacked"/>
        <c:ser>
          <c:idx val="0"/>
          <c:order val="0"/>
          <c:tx>
            <c:strRef>
              <c:f>Vehicle!$B$5</c:f>
              <c:strCache>
                <c:ptCount val="1"/>
                <c:pt idx="0">
                  <c:v>Disruption</c:v>
                </c:pt>
              </c:strCache>
            </c:strRef>
          </c:tx>
          <c:cat>
            <c:strRef>
              <c:f>Vehicle!$A$6:$A$10</c:f>
              <c:strCache>
                <c:ptCount val="5"/>
                <c:pt idx="0">
                  <c:v>CV</c:v>
                </c:pt>
                <c:pt idx="1">
                  <c:v>HEV</c:v>
                </c:pt>
                <c:pt idx="2">
                  <c:v>PHEV20</c:v>
                </c:pt>
                <c:pt idx="3">
                  <c:v>PHEV60</c:v>
                </c:pt>
                <c:pt idx="4">
                  <c:v>BEV</c:v>
                </c:pt>
              </c:strCache>
            </c:strRef>
          </c:cat>
          <c:val>
            <c:numRef>
              <c:f>Vehicle!$B$6:$B$10</c:f>
              <c:numCache>
                <c:formatCode>"$"#,##0</c:formatCode>
                <c:ptCount val="5"/>
                <c:pt idx="0">
                  <c:v>335.04288137349306</c:v>
                </c:pt>
                <c:pt idx="1">
                  <c:v>239.31634383820932</c:v>
                </c:pt>
                <c:pt idx="2">
                  <c:v>194.46127091397832</c:v>
                </c:pt>
                <c:pt idx="3">
                  <c:v>168.42228059307067</c:v>
                </c:pt>
                <c:pt idx="4">
                  <c:v>0</c:v>
                </c:pt>
              </c:numCache>
            </c:numRef>
          </c:val>
        </c:ser>
        <c:ser>
          <c:idx val="1"/>
          <c:order val="1"/>
          <c:tx>
            <c:strRef>
              <c:f>Vehicle!$C$5</c:f>
              <c:strCache>
                <c:ptCount val="1"/>
                <c:pt idx="0">
                  <c:v>Monopsony</c:v>
                </c:pt>
              </c:strCache>
            </c:strRef>
          </c:tx>
          <c:cat>
            <c:strRef>
              <c:f>Vehicle!$A$6:$A$10</c:f>
              <c:strCache>
                <c:ptCount val="5"/>
                <c:pt idx="0">
                  <c:v>CV</c:v>
                </c:pt>
                <c:pt idx="1">
                  <c:v>HEV</c:v>
                </c:pt>
                <c:pt idx="2">
                  <c:v>PHEV20</c:v>
                </c:pt>
                <c:pt idx="3">
                  <c:v>PHEV60</c:v>
                </c:pt>
                <c:pt idx="4">
                  <c:v>BEV</c:v>
                </c:pt>
              </c:strCache>
            </c:strRef>
          </c:cat>
          <c:val>
            <c:numRef>
              <c:f>Vehicle!$C$6:$C$10</c:f>
              <c:numCache>
                <c:formatCode>"$"#,##0</c:formatCode>
                <c:ptCount val="5"/>
                <c:pt idx="0">
                  <c:v>829.22473140215186</c:v>
                </c:pt>
                <c:pt idx="1">
                  <c:v>592.3033795729657</c:v>
                </c:pt>
                <c:pt idx="2">
                  <c:v>481.28793090818442</c:v>
                </c:pt>
                <c:pt idx="3">
                  <c:v>416.84192726136246</c:v>
                </c:pt>
                <c:pt idx="4">
                  <c:v>0</c:v>
                </c:pt>
              </c:numCache>
            </c:numRef>
          </c:val>
        </c:ser>
        <c:ser>
          <c:idx val="2"/>
          <c:order val="2"/>
          <c:tx>
            <c:strRef>
              <c:f>Vehicle!$D$5</c:f>
              <c:strCache>
                <c:ptCount val="1"/>
                <c:pt idx="0">
                  <c:v>Military</c:v>
                </c:pt>
              </c:strCache>
            </c:strRef>
          </c:tx>
          <c:cat>
            <c:strRef>
              <c:f>Vehicle!$A$6:$A$10</c:f>
              <c:strCache>
                <c:ptCount val="5"/>
                <c:pt idx="0">
                  <c:v>CV</c:v>
                </c:pt>
                <c:pt idx="1">
                  <c:v>HEV</c:v>
                </c:pt>
                <c:pt idx="2">
                  <c:v>PHEV20</c:v>
                </c:pt>
                <c:pt idx="3">
                  <c:v>PHEV60</c:v>
                </c:pt>
                <c:pt idx="4">
                  <c:v>BEV</c:v>
                </c:pt>
              </c:strCache>
            </c:strRef>
          </c:cat>
          <c:val>
            <c:numRef>
              <c:f>Vehicle!$D$6:$D$10</c:f>
              <c:numCache>
                <c:formatCode>"$"#,##0</c:formatCode>
                <c:ptCount val="5"/>
                <c:pt idx="0">
                  <c:v>119.9726900992793</c:v>
                </c:pt>
                <c:pt idx="1">
                  <c:v>85.694778642342385</c:v>
                </c:pt>
                <c:pt idx="2">
                  <c:v>69.633002486231831</c:v>
                </c:pt>
                <c:pt idx="3">
                  <c:v>60.308919242135367</c:v>
                </c:pt>
                <c:pt idx="4">
                  <c:v>0</c:v>
                </c:pt>
              </c:numCache>
            </c:numRef>
          </c:val>
        </c:ser>
        <c:ser>
          <c:idx val="3"/>
          <c:order val="3"/>
          <c:tx>
            <c:strRef>
              <c:f>Vehicle!$E$5</c:f>
              <c:strCache>
                <c:ptCount val="1"/>
                <c:pt idx="0">
                  <c:v>GHG</c:v>
                </c:pt>
              </c:strCache>
            </c:strRef>
          </c:tx>
          <c:cat>
            <c:strRef>
              <c:f>Vehicle!$A$6:$A$10</c:f>
              <c:strCache>
                <c:ptCount val="5"/>
                <c:pt idx="0">
                  <c:v>CV</c:v>
                </c:pt>
                <c:pt idx="1">
                  <c:v>HEV</c:v>
                </c:pt>
                <c:pt idx="2">
                  <c:v>PHEV20</c:v>
                </c:pt>
                <c:pt idx="3">
                  <c:v>PHEV60</c:v>
                </c:pt>
                <c:pt idx="4">
                  <c:v>BEV</c:v>
                </c:pt>
              </c:strCache>
            </c:strRef>
          </c:cat>
          <c:val>
            <c:numRef>
              <c:f>Vehicle!$E$6:$E$10</c:f>
              <c:numCache>
                <c:formatCode>"$"#,##0</c:formatCode>
                <c:ptCount val="5"/>
                <c:pt idx="0">
                  <c:v>1407.6500251373261</c:v>
                </c:pt>
                <c:pt idx="1">
                  <c:v>1009.3880874553493</c:v>
                </c:pt>
                <c:pt idx="2">
                  <c:v>818.74042762098486</c:v>
                </c:pt>
                <c:pt idx="3">
                  <c:v>707.82059160599943</c:v>
                </c:pt>
                <c:pt idx="4">
                  <c:v>0</c:v>
                </c:pt>
              </c:numCache>
            </c:numRef>
          </c:val>
        </c:ser>
        <c:ser>
          <c:idx val="4"/>
          <c:order val="4"/>
          <c:tx>
            <c:strRef>
              <c:f>Vehicle!$F$5</c:f>
              <c:strCache>
                <c:ptCount val="1"/>
                <c:pt idx="0">
                  <c:v>CO</c:v>
                </c:pt>
              </c:strCache>
            </c:strRef>
          </c:tx>
          <c:cat>
            <c:strRef>
              <c:f>Vehicle!$A$6:$A$10</c:f>
              <c:strCache>
                <c:ptCount val="5"/>
                <c:pt idx="0">
                  <c:v>CV</c:v>
                </c:pt>
                <c:pt idx="1">
                  <c:v>HEV</c:v>
                </c:pt>
                <c:pt idx="2">
                  <c:v>PHEV20</c:v>
                </c:pt>
                <c:pt idx="3">
                  <c:v>PHEV60</c:v>
                </c:pt>
                <c:pt idx="4">
                  <c:v>BEV</c:v>
                </c:pt>
              </c:strCache>
            </c:strRef>
          </c:cat>
          <c:val>
            <c:numRef>
              <c:f>Vehicle!$F$6:$F$10</c:f>
              <c:numCache>
                <c:formatCode>"$"#,##0</c:formatCode>
                <c:ptCount val="5"/>
                <c:pt idx="0">
                  <c:v>292.04749719495413</c:v>
                </c:pt>
                <c:pt idx="1">
                  <c:v>292.04749719495413</c:v>
                </c:pt>
                <c:pt idx="2">
                  <c:v>209.13521274130665</c:v>
                </c:pt>
                <c:pt idx="3">
                  <c:v>156.24541099930042</c:v>
                </c:pt>
                <c:pt idx="4">
                  <c:v>0</c:v>
                </c:pt>
              </c:numCache>
            </c:numRef>
          </c:val>
        </c:ser>
        <c:ser>
          <c:idx val="5"/>
          <c:order val="5"/>
          <c:tx>
            <c:strRef>
              <c:f>Vehicle!$G$5</c:f>
              <c:strCache>
                <c:ptCount val="1"/>
                <c:pt idx="0">
                  <c:v>NH3</c:v>
                </c:pt>
              </c:strCache>
            </c:strRef>
          </c:tx>
          <c:cat>
            <c:strRef>
              <c:f>Vehicle!$A$6:$A$10</c:f>
              <c:strCache>
                <c:ptCount val="5"/>
                <c:pt idx="0">
                  <c:v>CV</c:v>
                </c:pt>
                <c:pt idx="1">
                  <c:v>HEV</c:v>
                </c:pt>
                <c:pt idx="2">
                  <c:v>PHEV20</c:v>
                </c:pt>
                <c:pt idx="3">
                  <c:v>PHEV60</c:v>
                </c:pt>
                <c:pt idx="4">
                  <c:v>BEV</c:v>
                </c:pt>
              </c:strCache>
            </c:strRef>
          </c:cat>
          <c:val>
            <c:numRef>
              <c:f>Vehicle!$G$6:$G$10</c:f>
              <c:numCache>
                <c:formatCode>"$"#,##0</c:formatCode>
                <c:ptCount val="5"/>
                <c:pt idx="0">
                  <c:v>0</c:v>
                </c:pt>
                <c:pt idx="1">
                  <c:v>0</c:v>
                </c:pt>
                <c:pt idx="2">
                  <c:v>0</c:v>
                </c:pt>
                <c:pt idx="3">
                  <c:v>0</c:v>
                </c:pt>
                <c:pt idx="4">
                  <c:v>0</c:v>
                </c:pt>
              </c:numCache>
            </c:numRef>
          </c:val>
        </c:ser>
        <c:ser>
          <c:idx val="6"/>
          <c:order val="6"/>
          <c:tx>
            <c:strRef>
              <c:f>Vehicle!$H$5</c:f>
              <c:strCache>
                <c:ptCount val="1"/>
                <c:pt idx="0">
                  <c:v>NOx</c:v>
                </c:pt>
              </c:strCache>
            </c:strRef>
          </c:tx>
          <c:cat>
            <c:strRef>
              <c:f>Vehicle!$A$6:$A$10</c:f>
              <c:strCache>
                <c:ptCount val="5"/>
                <c:pt idx="0">
                  <c:v>CV</c:v>
                </c:pt>
                <c:pt idx="1">
                  <c:v>HEV</c:v>
                </c:pt>
                <c:pt idx="2">
                  <c:v>PHEV20</c:v>
                </c:pt>
                <c:pt idx="3">
                  <c:v>PHEV60</c:v>
                </c:pt>
                <c:pt idx="4">
                  <c:v>BEV</c:v>
                </c:pt>
              </c:strCache>
            </c:strRef>
          </c:cat>
          <c:val>
            <c:numRef>
              <c:f>Vehicle!$H$6:$H$10</c:f>
              <c:numCache>
                <c:formatCode>"$"#,##0</c:formatCode>
                <c:ptCount val="5"/>
                <c:pt idx="0">
                  <c:v>22.384922827257611</c:v>
                </c:pt>
                <c:pt idx="1">
                  <c:v>18.803335174896393</c:v>
                </c:pt>
                <c:pt idx="2">
                  <c:v>13.465068318743308</c:v>
                </c:pt>
                <c:pt idx="3">
                  <c:v>10.059784318569569</c:v>
                </c:pt>
                <c:pt idx="4">
                  <c:v>0</c:v>
                </c:pt>
              </c:numCache>
            </c:numRef>
          </c:val>
        </c:ser>
        <c:ser>
          <c:idx val="7"/>
          <c:order val="7"/>
          <c:tx>
            <c:strRef>
              <c:f>Vehicle!$I$5</c:f>
              <c:strCache>
                <c:ptCount val="1"/>
                <c:pt idx="0">
                  <c:v>PM10</c:v>
                </c:pt>
              </c:strCache>
            </c:strRef>
          </c:tx>
          <c:cat>
            <c:strRef>
              <c:f>Vehicle!$A$6:$A$10</c:f>
              <c:strCache>
                <c:ptCount val="5"/>
                <c:pt idx="0">
                  <c:v>CV</c:v>
                </c:pt>
                <c:pt idx="1">
                  <c:v>HEV</c:v>
                </c:pt>
                <c:pt idx="2">
                  <c:v>PHEV20</c:v>
                </c:pt>
                <c:pt idx="3">
                  <c:v>PHEV60</c:v>
                </c:pt>
                <c:pt idx="4">
                  <c:v>BEV</c:v>
                </c:pt>
              </c:strCache>
            </c:strRef>
          </c:cat>
          <c:val>
            <c:numRef>
              <c:f>Vehicle!$I$6:$I$10</c:f>
              <c:numCache>
                <c:formatCode>"$"#,##0</c:formatCode>
                <c:ptCount val="5"/>
                <c:pt idx="0">
                  <c:v>31.36204100209612</c:v>
                </c:pt>
                <c:pt idx="1">
                  <c:v>31.36204100209612</c:v>
                </c:pt>
                <c:pt idx="2">
                  <c:v>28.840368419298553</c:v>
                </c:pt>
                <c:pt idx="3">
                  <c:v>27.231791791103284</c:v>
                </c:pt>
                <c:pt idx="4">
                  <c:v>22.479784634369594</c:v>
                </c:pt>
              </c:numCache>
            </c:numRef>
          </c:val>
        </c:ser>
        <c:ser>
          <c:idx val="8"/>
          <c:order val="8"/>
          <c:tx>
            <c:strRef>
              <c:f>Vehicle!$J$5</c:f>
              <c:strCache>
                <c:ptCount val="1"/>
                <c:pt idx="0">
                  <c:v>PM2.5</c:v>
                </c:pt>
              </c:strCache>
            </c:strRef>
          </c:tx>
          <c:cat>
            <c:strRef>
              <c:f>Vehicle!$A$6:$A$10</c:f>
              <c:strCache>
                <c:ptCount val="5"/>
                <c:pt idx="0">
                  <c:v>CV</c:v>
                </c:pt>
                <c:pt idx="1">
                  <c:v>HEV</c:v>
                </c:pt>
                <c:pt idx="2">
                  <c:v>PHEV20</c:v>
                </c:pt>
                <c:pt idx="3">
                  <c:v>PHEV60</c:v>
                </c:pt>
                <c:pt idx="4">
                  <c:v>BEV</c:v>
                </c:pt>
              </c:strCache>
            </c:strRef>
          </c:cat>
          <c:val>
            <c:numRef>
              <c:f>Vehicle!$J$6:$J$10</c:f>
              <c:numCache>
                <c:formatCode>"$"#,##0</c:formatCode>
                <c:ptCount val="5"/>
                <c:pt idx="0">
                  <c:v>105.72172869636664</c:v>
                </c:pt>
                <c:pt idx="1">
                  <c:v>105.72172869636664</c:v>
                </c:pt>
                <c:pt idx="2">
                  <c:v>90.511729316181587</c:v>
                </c:pt>
                <c:pt idx="3">
                  <c:v>80.809260532273498</c:v>
                </c:pt>
                <c:pt idx="4">
                  <c:v>52.146528343478138</c:v>
                </c:pt>
              </c:numCache>
            </c:numRef>
          </c:val>
        </c:ser>
        <c:ser>
          <c:idx val="9"/>
          <c:order val="9"/>
          <c:tx>
            <c:strRef>
              <c:f>Vehicle!$K$5</c:f>
              <c:strCache>
                <c:ptCount val="1"/>
                <c:pt idx="0">
                  <c:v>SO2</c:v>
                </c:pt>
              </c:strCache>
            </c:strRef>
          </c:tx>
          <c:cat>
            <c:strRef>
              <c:f>Vehicle!$A$6:$A$10</c:f>
              <c:strCache>
                <c:ptCount val="5"/>
                <c:pt idx="0">
                  <c:v>CV</c:v>
                </c:pt>
                <c:pt idx="1">
                  <c:v>HEV</c:v>
                </c:pt>
                <c:pt idx="2">
                  <c:v>PHEV20</c:v>
                </c:pt>
                <c:pt idx="3">
                  <c:v>PHEV60</c:v>
                </c:pt>
                <c:pt idx="4">
                  <c:v>BEV</c:v>
                </c:pt>
              </c:strCache>
            </c:strRef>
          </c:cat>
          <c:val>
            <c:numRef>
              <c:f>Vehicle!$K$6:$K$10</c:f>
              <c:numCache>
                <c:formatCode>"$"#,##0</c:formatCode>
                <c:ptCount val="5"/>
                <c:pt idx="0">
                  <c:v>0</c:v>
                </c:pt>
                <c:pt idx="1">
                  <c:v>0</c:v>
                </c:pt>
                <c:pt idx="2">
                  <c:v>0</c:v>
                </c:pt>
                <c:pt idx="3">
                  <c:v>0</c:v>
                </c:pt>
                <c:pt idx="4">
                  <c:v>0</c:v>
                </c:pt>
              </c:numCache>
            </c:numRef>
          </c:val>
        </c:ser>
        <c:ser>
          <c:idx val="10"/>
          <c:order val="10"/>
          <c:tx>
            <c:strRef>
              <c:f>Vehicle!$L$5</c:f>
              <c:strCache>
                <c:ptCount val="1"/>
                <c:pt idx="0">
                  <c:v>VOC</c:v>
                </c:pt>
              </c:strCache>
            </c:strRef>
          </c:tx>
          <c:cat>
            <c:strRef>
              <c:f>Vehicle!$A$6:$A$10</c:f>
              <c:strCache>
                <c:ptCount val="5"/>
                <c:pt idx="0">
                  <c:v>CV</c:v>
                </c:pt>
                <c:pt idx="1">
                  <c:v>HEV</c:v>
                </c:pt>
                <c:pt idx="2">
                  <c:v>PHEV20</c:v>
                </c:pt>
                <c:pt idx="3">
                  <c:v>PHEV60</c:v>
                </c:pt>
                <c:pt idx="4">
                  <c:v>BEV</c:v>
                </c:pt>
              </c:strCache>
            </c:strRef>
          </c:cat>
          <c:val>
            <c:numRef>
              <c:f>Vehicle!$L$6:$L$10</c:f>
              <c:numCache>
                <c:formatCode>"$"#,##0</c:formatCode>
                <c:ptCount val="5"/>
                <c:pt idx="0">
                  <c:v>102.4797200743992</c:v>
                </c:pt>
                <c:pt idx="1">
                  <c:v>72.288655173533442</c:v>
                </c:pt>
                <c:pt idx="2">
                  <c:v>51.765905969767296</c:v>
                </c:pt>
                <c:pt idx="3">
                  <c:v>38.674430517840392</c:v>
                </c:pt>
                <c:pt idx="4">
                  <c:v>0</c:v>
                </c:pt>
              </c:numCache>
            </c:numRef>
          </c:val>
        </c:ser>
        <c:gapWidth val="55"/>
        <c:overlap val="100"/>
        <c:axId val="135489024"/>
        <c:axId val="135490560"/>
      </c:barChart>
      <c:catAx>
        <c:axId val="135489024"/>
        <c:scaling>
          <c:orientation val="minMax"/>
        </c:scaling>
        <c:axPos val="b"/>
        <c:majorTickMark val="none"/>
        <c:tickLblPos val="nextTo"/>
        <c:crossAx val="135490560"/>
        <c:crosses val="autoZero"/>
        <c:auto val="1"/>
        <c:lblAlgn val="ctr"/>
        <c:lblOffset val="100"/>
      </c:catAx>
      <c:valAx>
        <c:axId val="135490560"/>
        <c:scaling>
          <c:orientation val="minMax"/>
        </c:scaling>
        <c:axPos val="l"/>
        <c:numFmt formatCode="&quot;$&quot;#,##0" sourceLinked="1"/>
        <c:majorTickMark val="none"/>
        <c:tickLblPos val="nextTo"/>
        <c:crossAx val="135489024"/>
        <c:crosses val="autoZero"/>
        <c:crossBetween val="between"/>
      </c:valAx>
    </c:plotArea>
    <c:legend>
      <c:legendPos val="r"/>
      <c:layout>
        <c:manualLayout>
          <c:xMode val="edge"/>
          <c:yMode val="edge"/>
          <c:x val="0.80234009838944764"/>
          <c:y val="0.18942815975271812"/>
          <c:w val="0.18079254021637348"/>
          <c:h val="0.71054062748659275"/>
        </c:manualLayout>
      </c:layout>
    </c:legend>
    <c:plotVisOnly val="1"/>
    <c:dispBlanksAs val="gap"/>
  </c:chart>
  <c:spPr>
    <a:ln>
      <a:noFill/>
    </a:ln>
  </c:spPr>
  <c:printSettings>
    <c:headerFooter/>
    <c:pageMargins b="0.75000000000001055" l="0.70000000000000062" r="0.70000000000000062" t="0.7500000000000105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plotArea>
      <c:layout>
        <c:manualLayout>
          <c:layoutTarget val="inner"/>
          <c:xMode val="edge"/>
          <c:yMode val="edge"/>
          <c:x val="0.32255113954890136"/>
          <c:y val="0.28088475304224236"/>
          <c:w val="0.39058569577279412"/>
          <c:h val="0.68225667246139765"/>
        </c:manualLayout>
      </c:layout>
      <c:pieChart>
        <c:varyColors val="1"/>
        <c:ser>
          <c:idx val="0"/>
          <c:order val="0"/>
          <c:tx>
            <c:strRef>
              <c:f>Electricity!$B$10</c:f>
              <c:strCache>
                <c:ptCount val="1"/>
                <c:pt idx="0">
                  <c:v>Total Emissions Damages ($/kWh)</c:v>
                </c:pt>
              </c:strCache>
            </c:strRef>
          </c:tx>
          <c:dLbls>
            <c:showCatName val="1"/>
            <c:showLeaderLines val="1"/>
          </c:dLbls>
          <c:cat>
            <c:strRef>
              <c:f>Electricity!$E$4:$M$4</c:f>
              <c:strCache>
                <c:ptCount val="9"/>
                <c:pt idx="0">
                  <c:v>GasEq</c:v>
                </c:pt>
                <c:pt idx="1">
                  <c:v>GHGs</c:v>
                </c:pt>
                <c:pt idx="2">
                  <c:v>CO</c:v>
                </c:pt>
                <c:pt idx="3">
                  <c:v>NH3</c:v>
                </c:pt>
                <c:pt idx="4">
                  <c:v>NOx</c:v>
                </c:pt>
                <c:pt idx="5">
                  <c:v>PM10</c:v>
                </c:pt>
                <c:pt idx="6">
                  <c:v>PM2.5</c:v>
                </c:pt>
                <c:pt idx="7">
                  <c:v>SO2</c:v>
                </c:pt>
                <c:pt idx="8">
                  <c:v>VOC</c:v>
                </c:pt>
              </c:strCache>
            </c:strRef>
          </c:cat>
          <c:val>
            <c:numRef>
              <c:f>Electricity!$E$10:$M$10</c:f>
              <c:numCache>
                <c:formatCode>"$"#,##0.000</c:formatCode>
                <c:ptCount val="9"/>
                <c:pt idx="1">
                  <c:v>2.5579294417435231E-2</c:v>
                </c:pt>
                <c:pt idx="2">
                  <c:v>1.0453645766968148E-6</c:v>
                </c:pt>
                <c:pt idx="3">
                  <c:v>0</c:v>
                </c:pt>
                <c:pt idx="4">
                  <c:v>1.4462978144010267E-3</c:v>
                </c:pt>
                <c:pt idx="5">
                  <c:v>6.1559486024484336E-4</c:v>
                </c:pt>
                <c:pt idx="6">
                  <c:v>1.7282739054597447E-3</c:v>
                </c:pt>
                <c:pt idx="7">
                  <c:v>1.5628622172764801E-2</c:v>
                </c:pt>
                <c:pt idx="8">
                  <c:v>1.0900324077016369E-5</c:v>
                </c:pt>
              </c:numCache>
            </c:numRef>
          </c:val>
        </c:ser>
        <c:dLbls>
          <c:showCatName val="1"/>
        </c:dLbls>
        <c:firstSliceAng val="0"/>
      </c:pieChart>
    </c:plotArea>
    <c:plotVisOnly val="1"/>
    <c:dispBlanksAs val="zero"/>
  </c:chart>
  <c:spPr>
    <a:ln>
      <a:noFill/>
    </a:ln>
  </c:spPr>
  <c:printSettings>
    <c:headerFooter/>
    <c:pageMargins b="0.75000000000001077" l="0.70000000000000062" r="0.70000000000000062" t="0.750000000000010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plotArea>
      <c:layout>
        <c:manualLayout>
          <c:layoutTarget val="inner"/>
          <c:xMode val="edge"/>
          <c:yMode val="edge"/>
          <c:x val="0.32409205691393839"/>
          <c:y val="0.24971592187340688"/>
          <c:w val="0.37146500897914853"/>
          <c:h val="0.68745147765620263"/>
        </c:manualLayout>
      </c:layout>
      <c:pieChart>
        <c:varyColors val="1"/>
        <c:ser>
          <c:idx val="0"/>
          <c:order val="0"/>
          <c:tx>
            <c:strRef>
              <c:f>Electricity!$B$10</c:f>
              <c:strCache>
                <c:ptCount val="1"/>
                <c:pt idx="0">
                  <c:v>Total Emissions Damages ($/kWh)</c:v>
                </c:pt>
              </c:strCache>
            </c:strRef>
          </c:tx>
          <c:dLbls>
            <c:showCatName val="1"/>
            <c:showLeaderLines val="1"/>
          </c:dLbls>
          <c:cat>
            <c:strRef>
              <c:f>(Electricity!$B$6,Electricity!$B$8)</c:f>
              <c:strCache>
                <c:ptCount val="2"/>
                <c:pt idx="0">
                  <c:v>Direct Emissions Damages ($/kWh)</c:v>
                </c:pt>
                <c:pt idx="1">
                  <c:v>Upstream Emissions Damages ($/kWh)</c:v>
                </c:pt>
              </c:strCache>
            </c:strRef>
          </c:cat>
          <c:val>
            <c:numRef>
              <c:f>(Electricity!$N$6,Electricity!$N$8)</c:f>
              <c:numCache>
                <c:formatCode>"$"#,##0.000</c:formatCode>
                <c:ptCount val="2"/>
                <c:pt idx="0">
                  <c:v>4.2171749399589731E-2</c:v>
                </c:pt>
                <c:pt idx="1">
                  <c:v>2.8382794593696291E-3</c:v>
                </c:pt>
              </c:numCache>
            </c:numRef>
          </c:val>
        </c:ser>
        <c:dLbls>
          <c:showCatName val="1"/>
        </c:dLbls>
        <c:firstSliceAng val="0"/>
      </c:pieChart>
    </c:plotArea>
    <c:plotVisOnly val="1"/>
    <c:dispBlanksAs val="zero"/>
  </c:chart>
  <c:spPr>
    <a:ln>
      <a:noFill/>
    </a:ln>
  </c:spPr>
  <c:printSettings>
    <c:headerFooter/>
    <c:pageMargins b="0.75000000000001077" l="0.70000000000000062" r="0.70000000000000062" t="0.75000000000001077"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plotArea>
      <c:layout/>
      <c:pieChart>
        <c:varyColors val="1"/>
        <c:ser>
          <c:idx val="0"/>
          <c:order val="0"/>
          <c:tx>
            <c:strRef>
              <c:f>Gasoline!$C$10</c:f>
              <c:strCache>
                <c:ptCount val="1"/>
                <c:pt idx="0">
                  <c:v>Total Damages ($/gal)</c:v>
                </c:pt>
              </c:strCache>
            </c:strRef>
          </c:tx>
          <c:dLbls>
            <c:showCatName val="1"/>
            <c:showLeaderLines val="1"/>
          </c:dLbls>
          <c:cat>
            <c:strRef>
              <c:f>Gasoline!$F$3:$N$3</c:f>
              <c:strCache>
                <c:ptCount val="9"/>
                <c:pt idx="0">
                  <c:v>Petrol</c:v>
                </c:pt>
                <c:pt idx="1">
                  <c:v>GHG</c:v>
                </c:pt>
                <c:pt idx="2">
                  <c:v>CO</c:v>
                </c:pt>
                <c:pt idx="3">
                  <c:v>NH3</c:v>
                </c:pt>
                <c:pt idx="4">
                  <c:v>NOx</c:v>
                </c:pt>
                <c:pt idx="5">
                  <c:v>PM10</c:v>
                </c:pt>
                <c:pt idx="6">
                  <c:v>PM2.5</c:v>
                </c:pt>
                <c:pt idx="7">
                  <c:v>SO2</c:v>
                </c:pt>
                <c:pt idx="8">
                  <c:v>VOC</c:v>
                </c:pt>
              </c:strCache>
            </c:strRef>
          </c:cat>
          <c:val>
            <c:numRef>
              <c:f>Gasoline!$F$10:$N$10</c:f>
              <c:numCache>
                <c:formatCode>"$"#,##0.000</c:formatCode>
                <c:ptCount val="9"/>
                <c:pt idx="1">
                  <c:v>4.7885066543518706E-2</c:v>
                </c:pt>
                <c:pt idx="2">
                  <c:v>3.8741382513033686E-4</c:v>
                </c:pt>
                <c:pt idx="3">
                  <c:v>0</c:v>
                </c:pt>
                <c:pt idx="4">
                  <c:v>8.4450479022158843E-3</c:v>
                </c:pt>
                <c:pt idx="5">
                  <c:v>2.6351411041618884E-3</c:v>
                </c:pt>
                <c:pt idx="6">
                  <c:v>9.2788023402152892E-3</c:v>
                </c:pt>
                <c:pt idx="7">
                  <c:v>2.2605650533519709E-2</c:v>
                </c:pt>
                <c:pt idx="8">
                  <c:v>7.4972999897699698E-3</c:v>
                </c:pt>
              </c:numCache>
            </c:numRef>
          </c:val>
        </c:ser>
        <c:dLbls>
          <c:showCatName val="1"/>
        </c:dLbls>
        <c:firstSliceAng val="0"/>
      </c:pieChart>
    </c:plotArea>
    <c:plotVisOnly val="1"/>
    <c:dispBlanksAs val="zero"/>
  </c:chart>
  <c:spPr>
    <a:ln>
      <a:noFill/>
    </a:ln>
  </c:spPr>
  <c:printSettings>
    <c:headerFooter/>
    <c:pageMargins b="0.75000000000001077" l="0.70000000000000062" r="0.70000000000000062" t="0.75000000000001077"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plotArea>
      <c:layout/>
      <c:pieChart>
        <c:varyColors val="1"/>
        <c:ser>
          <c:idx val="0"/>
          <c:order val="0"/>
          <c:tx>
            <c:strRef>
              <c:f>Gasoline!$C$10</c:f>
              <c:strCache>
                <c:ptCount val="1"/>
                <c:pt idx="0">
                  <c:v>Total Damages ($/gal)</c:v>
                </c:pt>
              </c:strCache>
            </c:strRef>
          </c:tx>
          <c:dLbls>
            <c:showCatName val="1"/>
            <c:showLeaderLines val="1"/>
          </c:dLbls>
          <c:cat>
            <c:strRef>
              <c:f>Gasoline!$C$8:$C$9</c:f>
              <c:strCache>
                <c:ptCount val="2"/>
                <c:pt idx="0">
                  <c:v>Direct Damages ($/gal)</c:v>
                </c:pt>
                <c:pt idx="1">
                  <c:v>Upstream Damages ($/gal)</c:v>
                </c:pt>
              </c:strCache>
            </c:strRef>
          </c:cat>
          <c:val>
            <c:numRef>
              <c:f>Gasoline!$O$8:$O$9</c:f>
              <c:numCache>
                <c:formatCode>"$"#,##0.000</c:formatCode>
                <c:ptCount val="2"/>
                <c:pt idx="0">
                  <c:v>6.3803413924120006E-2</c:v>
                </c:pt>
                <c:pt idx="1">
                  <c:v>3.4931008314411781E-2</c:v>
                </c:pt>
              </c:numCache>
            </c:numRef>
          </c:val>
        </c:ser>
        <c:dLbls>
          <c:showCatName val="1"/>
        </c:dLbls>
        <c:firstSliceAng val="0"/>
      </c:pieChart>
    </c:plotArea>
    <c:plotVisOnly val="1"/>
    <c:dispBlanksAs val="zero"/>
  </c:chart>
  <c:spPr>
    <a:ln>
      <a:noFill/>
    </a:ln>
  </c:spPr>
  <c:printSettings>
    <c:headerFooter/>
    <c:pageMargins b="0.75000000000001077" l="0.70000000000000062" r="0.70000000000000062" t="0.7500000000000107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Vehicle Production (Excluding Batt)</a:t>
            </a:r>
          </a:p>
        </c:rich>
      </c:tx>
    </c:title>
    <c:plotArea>
      <c:layout/>
      <c:barChart>
        <c:barDir val="col"/>
        <c:grouping val="stacked"/>
        <c:ser>
          <c:idx val="0"/>
          <c:order val="0"/>
          <c:tx>
            <c:strRef>
              <c:f>Manufacturing!$E$7</c:f>
              <c:strCache>
                <c:ptCount val="1"/>
                <c:pt idx="0">
                  <c:v>Petrol</c:v>
                </c:pt>
              </c:strCache>
            </c:strRef>
          </c:tx>
          <c:cat>
            <c:strRef>
              <c:f>Manufacturing!$D$20:$D$24</c:f>
              <c:strCache>
                <c:ptCount val="5"/>
                <c:pt idx="0">
                  <c:v>CV</c:v>
                </c:pt>
                <c:pt idx="1">
                  <c:v>HEV</c:v>
                </c:pt>
                <c:pt idx="2">
                  <c:v>PHEV20</c:v>
                </c:pt>
                <c:pt idx="3">
                  <c:v>PHEV60</c:v>
                </c:pt>
                <c:pt idx="4">
                  <c:v>BEV</c:v>
                </c:pt>
              </c:strCache>
            </c:strRef>
          </c:cat>
          <c:val>
            <c:numRef>
              <c:f>Manufacturing!$E$20:$E$24</c:f>
              <c:numCache>
                <c:formatCode>"$"#,##0</c:formatCode>
                <c:ptCount val="5"/>
              </c:numCache>
            </c:numRef>
          </c:val>
        </c:ser>
        <c:ser>
          <c:idx val="1"/>
          <c:order val="1"/>
          <c:tx>
            <c:strRef>
              <c:f>Manufacturing!$F$7</c:f>
              <c:strCache>
                <c:ptCount val="1"/>
                <c:pt idx="0">
                  <c:v>GHG</c:v>
                </c:pt>
              </c:strCache>
            </c:strRef>
          </c:tx>
          <c:cat>
            <c:strRef>
              <c:f>Manufacturing!$D$20:$D$24</c:f>
              <c:strCache>
                <c:ptCount val="5"/>
                <c:pt idx="0">
                  <c:v>CV</c:v>
                </c:pt>
                <c:pt idx="1">
                  <c:v>HEV</c:v>
                </c:pt>
                <c:pt idx="2">
                  <c:v>PHEV20</c:v>
                </c:pt>
                <c:pt idx="3">
                  <c:v>PHEV60</c:v>
                </c:pt>
                <c:pt idx="4">
                  <c:v>BEV</c:v>
                </c:pt>
              </c:strCache>
            </c:strRef>
          </c:cat>
          <c:val>
            <c:numRef>
              <c:f>Manufacturing!$F$20:$F$24</c:f>
              <c:numCache>
                <c:formatCode>"$"#,##0</c:formatCode>
                <c:ptCount val="5"/>
                <c:pt idx="0">
                  <c:v>315.74998602918447</c:v>
                </c:pt>
                <c:pt idx="1">
                  <c:v>287.3921752306137</c:v>
                </c:pt>
                <c:pt idx="2">
                  <c:v>290.87308986036447</c:v>
                </c:pt>
                <c:pt idx="3">
                  <c:v>290.87308986036447</c:v>
                </c:pt>
                <c:pt idx="4">
                  <c:v>290.87308986036447</c:v>
                </c:pt>
              </c:numCache>
            </c:numRef>
          </c:val>
        </c:ser>
        <c:ser>
          <c:idx val="2"/>
          <c:order val="2"/>
          <c:tx>
            <c:strRef>
              <c:f>Manufacturing!$G$7</c:f>
              <c:strCache>
                <c:ptCount val="1"/>
                <c:pt idx="0">
                  <c:v>CO</c:v>
                </c:pt>
              </c:strCache>
            </c:strRef>
          </c:tx>
          <c:cat>
            <c:strRef>
              <c:f>Manufacturing!$D$20:$D$24</c:f>
              <c:strCache>
                <c:ptCount val="5"/>
                <c:pt idx="0">
                  <c:v>CV</c:v>
                </c:pt>
                <c:pt idx="1">
                  <c:v>HEV</c:v>
                </c:pt>
                <c:pt idx="2">
                  <c:v>PHEV20</c:v>
                </c:pt>
                <c:pt idx="3">
                  <c:v>PHEV60</c:v>
                </c:pt>
                <c:pt idx="4">
                  <c:v>BEV</c:v>
                </c:pt>
              </c:strCache>
            </c:strRef>
          </c:cat>
          <c:val>
            <c:numRef>
              <c:f>Manufacturing!$G$20:$G$24</c:f>
              <c:numCache>
                <c:formatCode>"$"#,##0</c:formatCode>
                <c:ptCount val="5"/>
                <c:pt idx="0">
                  <c:v>17.82730736054982</c:v>
                </c:pt>
                <c:pt idx="1">
                  <c:v>15.665186225845471</c:v>
                </c:pt>
                <c:pt idx="2">
                  <c:v>15.937544789563287</c:v>
                </c:pt>
                <c:pt idx="3">
                  <c:v>15.937544789563287</c:v>
                </c:pt>
                <c:pt idx="4">
                  <c:v>15.937544789563287</c:v>
                </c:pt>
              </c:numCache>
            </c:numRef>
          </c:val>
        </c:ser>
        <c:ser>
          <c:idx val="3"/>
          <c:order val="3"/>
          <c:tx>
            <c:strRef>
              <c:f>Manufacturing!$H$7</c:f>
              <c:strCache>
                <c:ptCount val="1"/>
                <c:pt idx="0">
                  <c:v>NH3</c:v>
                </c:pt>
              </c:strCache>
            </c:strRef>
          </c:tx>
          <c:cat>
            <c:strRef>
              <c:f>Manufacturing!$D$20:$D$24</c:f>
              <c:strCache>
                <c:ptCount val="5"/>
                <c:pt idx="0">
                  <c:v>CV</c:v>
                </c:pt>
                <c:pt idx="1">
                  <c:v>HEV</c:v>
                </c:pt>
                <c:pt idx="2">
                  <c:v>PHEV20</c:v>
                </c:pt>
                <c:pt idx="3">
                  <c:v>PHEV60</c:v>
                </c:pt>
                <c:pt idx="4">
                  <c:v>BEV</c:v>
                </c:pt>
              </c:strCache>
            </c:strRef>
          </c:cat>
          <c:val>
            <c:numRef>
              <c:f>Manufacturing!$H$20:$H$24</c:f>
              <c:numCache>
                <c:formatCode>"$"#,##0</c:formatCode>
                <c:ptCount val="5"/>
                <c:pt idx="0">
                  <c:v>0</c:v>
                </c:pt>
                <c:pt idx="1">
                  <c:v>0</c:v>
                </c:pt>
                <c:pt idx="2">
                  <c:v>0</c:v>
                </c:pt>
                <c:pt idx="3">
                  <c:v>0</c:v>
                </c:pt>
                <c:pt idx="4">
                  <c:v>0</c:v>
                </c:pt>
              </c:numCache>
            </c:numRef>
          </c:val>
        </c:ser>
        <c:ser>
          <c:idx val="4"/>
          <c:order val="4"/>
          <c:tx>
            <c:strRef>
              <c:f>Manufacturing!$I$7</c:f>
              <c:strCache>
                <c:ptCount val="1"/>
                <c:pt idx="0">
                  <c:v>NOx</c:v>
                </c:pt>
              </c:strCache>
            </c:strRef>
          </c:tx>
          <c:cat>
            <c:strRef>
              <c:f>Manufacturing!$D$20:$D$24</c:f>
              <c:strCache>
                <c:ptCount val="5"/>
                <c:pt idx="0">
                  <c:v>CV</c:v>
                </c:pt>
                <c:pt idx="1">
                  <c:v>HEV</c:v>
                </c:pt>
                <c:pt idx="2">
                  <c:v>PHEV20</c:v>
                </c:pt>
                <c:pt idx="3">
                  <c:v>PHEV60</c:v>
                </c:pt>
                <c:pt idx="4">
                  <c:v>BEV</c:v>
                </c:pt>
              </c:strCache>
            </c:strRef>
          </c:cat>
          <c:val>
            <c:numRef>
              <c:f>Manufacturing!$I$20:$I$24</c:f>
              <c:numCache>
                <c:formatCode>"$"#,##0</c:formatCode>
                <c:ptCount val="5"/>
                <c:pt idx="0">
                  <c:v>29.876306949910955</c:v>
                </c:pt>
                <c:pt idx="1">
                  <c:v>27.768727601133531</c:v>
                </c:pt>
                <c:pt idx="2">
                  <c:v>27.999601076612837</c:v>
                </c:pt>
                <c:pt idx="3">
                  <c:v>27.999601076612837</c:v>
                </c:pt>
                <c:pt idx="4">
                  <c:v>27.999601076612837</c:v>
                </c:pt>
              </c:numCache>
            </c:numRef>
          </c:val>
        </c:ser>
        <c:ser>
          <c:idx val="5"/>
          <c:order val="5"/>
          <c:tx>
            <c:strRef>
              <c:f>Manufacturing!$J$7</c:f>
              <c:strCache>
                <c:ptCount val="1"/>
                <c:pt idx="0">
                  <c:v>PM10</c:v>
                </c:pt>
              </c:strCache>
            </c:strRef>
          </c:tx>
          <c:cat>
            <c:strRef>
              <c:f>Manufacturing!$D$20:$D$24</c:f>
              <c:strCache>
                <c:ptCount val="5"/>
                <c:pt idx="0">
                  <c:v>CV</c:v>
                </c:pt>
                <c:pt idx="1">
                  <c:v>HEV</c:v>
                </c:pt>
                <c:pt idx="2">
                  <c:v>PHEV20</c:v>
                </c:pt>
                <c:pt idx="3">
                  <c:v>PHEV60</c:v>
                </c:pt>
                <c:pt idx="4">
                  <c:v>BEV</c:v>
                </c:pt>
              </c:strCache>
            </c:strRef>
          </c:cat>
          <c:val>
            <c:numRef>
              <c:f>Manufacturing!$J$20:$J$24</c:f>
              <c:numCache>
                <c:formatCode>"$"#,##0</c:formatCode>
                <c:ptCount val="5"/>
                <c:pt idx="0">
                  <c:v>59.782245499168752</c:v>
                </c:pt>
                <c:pt idx="1">
                  <c:v>52.039081304267995</c:v>
                </c:pt>
                <c:pt idx="2">
                  <c:v>52.730606046682063</c:v>
                </c:pt>
                <c:pt idx="3">
                  <c:v>52.730606046682063</c:v>
                </c:pt>
                <c:pt idx="4">
                  <c:v>52.730606046682063</c:v>
                </c:pt>
              </c:numCache>
            </c:numRef>
          </c:val>
        </c:ser>
        <c:ser>
          <c:idx val="6"/>
          <c:order val="6"/>
          <c:tx>
            <c:strRef>
              <c:f>Manufacturing!$K$7</c:f>
              <c:strCache>
                <c:ptCount val="1"/>
                <c:pt idx="0">
                  <c:v>PM2.5</c:v>
                </c:pt>
              </c:strCache>
            </c:strRef>
          </c:tx>
          <c:cat>
            <c:strRef>
              <c:f>Manufacturing!$D$20:$D$24</c:f>
              <c:strCache>
                <c:ptCount val="5"/>
                <c:pt idx="0">
                  <c:v>CV</c:v>
                </c:pt>
                <c:pt idx="1">
                  <c:v>HEV</c:v>
                </c:pt>
                <c:pt idx="2">
                  <c:v>PHEV20</c:v>
                </c:pt>
                <c:pt idx="3">
                  <c:v>PHEV60</c:v>
                </c:pt>
                <c:pt idx="4">
                  <c:v>BEV</c:v>
                </c:pt>
              </c:strCache>
            </c:strRef>
          </c:cat>
          <c:val>
            <c:numRef>
              <c:f>Manufacturing!$K$20:$K$24</c:f>
              <c:numCache>
                <c:formatCode>"$"#,##0</c:formatCode>
                <c:ptCount val="5"/>
                <c:pt idx="0">
                  <c:v>161.5457188050606</c:v>
                </c:pt>
                <c:pt idx="1">
                  <c:v>141.69764167722886</c:v>
                </c:pt>
                <c:pt idx="2">
                  <c:v>143.56446134298878</c:v>
                </c:pt>
                <c:pt idx="3">
                  <c:v>143.56446134298878</c:v>
                </c:pt>
                <c:pt idx="4">
                  <c:v>143.56446134298878</c:v>
                </c:pt>
              </c:numCache>
            </c:numRef>
          </c:val>
        </c:ser>
        <c:ser>
          <c:idx val="7"/>
          <c:order val="7"/>
          <c:tx>
            <c:strRef>
              <c:f>Manufacturing!$L$7</c:f>
              <c:strCache>
                <c:ptCount val="1"/>
                <c:pt idx="0">
                  <c:v>SO2</c:v>
                </c:pt>
              </c:strCache>
            </c:strRef>
          </c:tx>
          <c:cat>
            <c:strRef>
              <c:f>Manufacturing!$D$20:$D$24</c:f>
              <c:strCache>
                <c:ptCount val="5"/>
                <c:pt idx="0">
                  <c:v>CV</c:v>
                </c:pt>
                <c:pt idx="1">
                  <c:v>HEV</c:v>
                </c:pt>
                <c:pt idx="2">
                  <c:v>PHEV20</c:v>
                </c:pt>
                <c:pt idx="3">
                  <c:v>PHEV60</c:v>
                </c:pt>
                <c:pt idx="4">
                  <c:v>BEV</c:v>
                </c:pt>
              </c:strCache>
            </c:strRef>
          </c:cat>
          <c:val>
            <c:numRef>
              <c:f>Manufacturing!$L$20:$L$24</c:f>
              <c:numCache>
                <c:formatCode>"$"#,##0</c:formatCode>
                <c:ptCount val="5"/>
                <c:pt idx="0">
                  <c:v>264.34696665071482</c:v>
                </c:pt>
                <c:pt idx="1">
                  <c:v>311.29636934089109</c:v>
                </c:pt>
                <c:pt idx="2">
                  <c:v>315.30861466271887</c:v>
                </c:pt>
                <c:pt idx="3">
                  <c:v>315.30861466271887</c:v>
                </c:pt>
                <c:pt idx="4">
                  <c:v>315.30861466271887</c:v>
                </c:pt>
              </c:numCache>
            </c:numRef>
          </c:val>
        </c:ser>
        <c:ser>
          <c:idx val="8"/>
          <c:order val="8"/>
          <c:tx>
            <c:strRef>
              <c:f>Manufacturing!$M$7</c:f>
              <c:strCache>
                <c:ptCount val="1"/>
                <c:pt idx="0">
                  <c:v>VOC</c:v>
                </c:pt>
              </c:strCache>
            </c:strRef>
          </c:tx>
          <c:cat>
            <c:strRef>
              <c:f>Manufacturing!$D$20:$D$24</c:f>
              <c:strCache>
                <c:ptCount val="5"/>
                <c:pt idx="0">
                  <c:v>CV</c:v>
                </c:pt>
                <c:pt idx="1">
                  <c:v>HEV</c:v>
                </c:pt>
                <c:pt idx="2">
                  <c:v>PHEV20</c:v>
                </c:pt>
                <c:pt idx="3">
                  <c:v>PHEV60</c:v>
                </c:pt>
                <c:pt idx="4">
                  <c:v>BEV</c:v>
                </c:pt>
              </c:strCache>
            </c:strRef>
          </c:cat>
          <c:val>
            <c:numRef>
              <c:f>Manufacturing!$M$20:$M$24</c:f>
              <c:numCache>
                <c:formatCode>"$"#,##0</c:formatCode>
                <c:ptCount val="5"/>
                <c:pt idx="0">
                  <c:v>79.169030366360815</c:v>
                </c:pt>
                <c:pt idx="1">
                  <c:v>78.656432251342636</c:v>
                </c:pt>
                <c:pt idx="2">
                  <c:v>78.685222901623064</c:v>
                </c:pt>
                <c:pt idx="3">
                  <c:v>78.685222901623064</c:v>
                </c:pt>
                <c:pt idx="4">
                  <c:v>78.685222901623064</c:v>
                </c:pt>
              </c:numCache>
            </c:numRef>
          </c:val>
        </c:ser>
        <c:gapWidth val="55"/>
        <c:overlap val="100"/>
        <c:axId val="139955200"/>
        <c:axId val="139961088"/>
      </c:barChart>
      <c:catAx>
        <c:axId val="139955200"/>
        <c:scaling>
          <c:orientation val="minMax"/>
        </c:scaling>
        <c:axPos val="b"/>
        <c:majorTickMark val="none"/>
        <c:tickLblPos val="nextTo"/>
        <c:crossAx val="139961088"/>
        <c:crosses val="autoZero"/>
        <c:auto val="1"/>
        <c:lblAlgn val="ctr"/>
        <c:lblOffset val="100"/>
      </c:catAx>
      <c:valAx>
        <c:axId val="139961088"/>
        <c:scaling>
          <c:orientation val="minMax"/>
        </c:scaling>
        <c:axPos val="l"/>
        <c:numFmt formatCode="&quot;$&quot;#,##0" sourceLinked="1"/>
        <c:majorTickMark val="none"/>
        <c:tickLblPos val="nextTo"/>
        <c:crossAx val="139955200"/>
        <c:crosses val="autoZero"/>
        <c:crossBetween val="between"/>
      </c:valAx>
    </c:plotArea>
    <c:legend>
      <c:legendPos val="r"/>
      <c:layout>
        <c:manualLayout>
          <c:xMode val="edge"/>
          <c:yMode val="edge"/>
          <c:x val="0.84810926711085266"/>
          <c:y val="0.22436939826966074"/>
          <c:w val="0.13342919442761991"/>
          <c:h val="0.71891552444833284"/>
        </c:manualLayout>
      </c:layout>
    </c:legend>
    <c:plotVisOnly val="1"/>
    <c:dispBlanksAs val="gap"/>
  </c:chart>
  <c:spPr>
    <a:ln>
      <a:noFill/>
    </a:ln>
  </c:spPr>
  <c:printSettings>
    <c:headerFooter/>
    <c:pageMargins b="0.75000000000001055" l="0.70000000000000062" r="0.70000000000000062" t="0.750000000000010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Battery Production</a:t>
            </a:r>
          </a:p>
        </c:rich>
      </c:tx>
    </c:title>
    <c:plotArea>
      <c:layout/>
      <c:barChart>
        <c:barDir val="col"/>
        <c:grouping val="stacked"/>
        <c:ser>
          <c:idx val="0"/>
          <c:order val="0"/>
          <c:tx>
            <c:strRef>
              <c:f>Manufacturing!$P$7</c:f>
              <c:strCache>
                <c:ptCount val="1"/>
                <c:pt idx="0">
                  <c:v>Petrol</c:v>
                </c:pt>
              </c:strCache>
            </c:strRef>
          </c:tx>
          <c:cat>
            <c:strRef>
              <c:f>Manufacturing!$O$20:$O$24</c:f>
              <c:strCache>
                <c:ptCount val="5"/>
                <c:pt idx="0">
                  <c:v>CV</c:v>
                </c:pt>
                <c:pt idx="1">
                  <c:v>HEV</c:v>
                </c:pt>
                <c:pt idx="2">
                  <c:v>PHEV20</c:v>
                </c:pt>
                <c:pt idx="3">
                  <c:v>PHEV60</c:v>
                </c:pt>
                <c:pt idx="4">
                  <c:v>BEV</c:v>
                </c:pt>
              </c:strCache>
            </c:strRef>
          </c:cat>
          <c:val>
            <c:numRef>
              <c:f>Manufacturing!$P$20:$P$24</c:f>
              <c:numCache>
                <c:formatCode>"$"#,##0</c:formatCode>
                <c:ptCount val="5"/>
              </c:numCache>
            </c:numRef>
          </c:val>
        </c:ser>
        <c:ser>
          <c:idx val="1"/>
          <c:order val="1"/>
          <c:tx>
            <c:strRef>
              <c:f>Manufacturing!$Q$7</c:f>
              <c:strCache>
                <c:ptCount val="1"/>
                <c:pt idx="0">
                  <c:v>GHG</c:v>
                </c:pt>
              </c:strCache>
            </c:strRef>
          </c:tx>
          <c:cat>
            <c:strRef>
              <c:f>Manufacturing!$O$20:$O$24</c:f>
              <c:strCache>
                <c:ptCount val="5"/>
                <c:pt idx="0">
                  <c:v>CV</c:v>
                </c:pt>
                <c:pt idx="1">
                  <c:v>HEV</c:v>
                </c:pt>
                <c:pt idx="2">
                  <c:v>PHEV20</c:v>
                </c:pt>
                <c:pt idx="3">
                  <c:v>PHEV60</c:v>
                </c:pt>
                <c:pt idx="4">
                  <c:v>BEV</c:v>
                </c:pt>
              </c:strCache>
            </c:strRef>
          </c:cat>
          <c:val>
            <c:numRef>
              <c:f>Manufacturing!$Q$20:$Q$24</c:f>
              <c:numCache>
                <c:formatCode>"$"#,##0</c:formatCode>
                <c:ptCount val="5"/>
                <c:pt idx="0">
                  <c:v>11.818650495106972</c:v>
                </c:pt>
                <c:pt idx="1">
                  <c:v>29.841685170651537</c:v>
                </c:pt>
                <c:pt idx="2">
                  <c:v>44.01433256072476</c:v>
                </c:pt>
                <c:pt idx="3">
                  <c:v>150.95883874088184</c:v>
                </c:pt>
                <c:pt idx="4">
                  <c:v>531.55467766600873</c:v>
                </c:pt>
              </c:numCache>
            </c:numRef>
          </c:val>
        </c:ser>
        <c:ser>
          <c:idx val="2"/>
          <c:order val="2"/>
          <c:tx>
            <c:strRef>
              <c:f>Manufacturing!$R$7</c:f>
              <c:strCache>
                <c:ptCount val="1"/>
                <c:pt idx="0">
                  <c:v>CO</c:v>
                </c:pt>
              </c:strCache>
            </c:strRef>
          </c:tx>
          <c:cat>
            <c:strRef>
              <c:f>Manufacturing!$O$20:$O$24</c:f>
              <c:strCache>
                <c:ptCount val="5"/>
                <c:pt idx="0">
                  <c:v>CV</c:v>
                </c:pt>
                <c:pt idx="1">
                  <c:v>HEV</c:v>
                </c:pt>
                <c:pt idx="2">
                  <c:v>PHEV20</c:v>
                </c:pt>
                <c:pt idx="3">
                  <c:v>PHEV60</c:v>
                </c:pt>
                <c:pt idx="4">
                  <c:v>BEV</c:v>
                </c:pt>
              </c:strCache>
            </c:strRef>
          </c:cat>
          <c:val>
            <c:numRef>
              <c:f>Manufacturing!$R$20:$R$24</c:f>
              <c:numCache>
                <c:formatCode>"$"#,##0</c:formatCode>
                <c:ptCount val="5"/>
                <c:pt idx="0">
                  <c:v>3.5529185212048744E-2</c:v>
                </c:pt>
                <c:pt idx="1">
                  <c:v>0.24385250701366709</c:v>
                </c:pt>
                <c:pt idx="2">
                  <c:v>0.1329256395813459</c:v>
                </c:pt>
                <c:pt idx="3">
                  <c:v>0.45590377094561929</c:v>
                </c:pt>
                <c:pt idx="4">
                  <c:v>1.8908901286179916</c:v>
                </c:pt>
              </c:numCache>
            </c:numRef>
          </c:val>
        </c:ser>
        <c:ser>
          <c:idx val="3"/>
          <c:order val="3"/>
          <c:tx>
            <c:strRef>
              <c:f>Manufacturing!$S$7</c:f>
              <c:strCache>
                <c:ptCount val="1"/>
                <c:pt idx="0">
                  <c:v>NH3</c:v>
                </c:pt>
              </c:strCache>
            </c:strRef>
          </c:tx>
          <c:cat>
            <c:strRef>
              <c:f>Manufacturing!$O$20:$O$24</c:f>
              <c:strCache>
                <c:ptCount val="5"/>
                <c:pt idx="0">
                  <c:v>CV</c:v>
                </c:pt>
                <c:pt idx="1">
                  <c:v>HEV</c:v>
                </c:pt>
                <c:pt idx="2">
                  <c:v>PHEV20</c:v>
                </c:pt>
                <c:pt idx="3">
                  <c:v>PHEV60</c:v>
                </c:pt>
                <c:pt idx="4">
                  <c:v>BEV</c:v>
                </c:pt>
              </c:strCache>
            </c:strRef>
          </c:cat>
          <c:val>
            <c:numRef>
              <c:f>Manufacturing!$S$20:$S$24</c:f>
              <c:numCache>
                <c:formatCode>"$"#,##0</c:formatCode>
                <c:ptCount val="5"/>
                <c:pt idx="0">
                  <c:v>0</c:v>
                </c:pt>
                <c:pt idx="1">
                  <c:v>0</c:v>
                </c:pt>
                <c:pt idx="2">
                  <c:v>0</c:v>
                </c:pt>
                <c:pt idx="3">
                  <c:v>0</c:v>
                </c:pt>
                <c:pt idx="4">
                  <c:v>0</c:v>
                </c:pt>
              </c:numCache>
            </c:numRef>
          </c:val>
        </c:ser>
        <c:ser>
          <c:idx val="4"/>
          <c:order val="4"/>
          <c:tx>
            <c:strRef>
              <c:f>Manufacturing!$T$7</c:f>
              <c:strCache>
                <c:ptCount val="1"/>
                <c:pt idx="0">
                  <c:v>NOx</c:v>
                </c:pt>
              </c:strCache>
            </c:strRef>
          </c:tx>
          <c:cat>
            <c:strRef>
              <c:f>Manufacturing!$O$20:$O$24</c:f>
              <c:strCache>
                <c:ptCount val="5"/>
                <c:pt idx="0">
                  <c:v>CV</c:v>
                </c:pt>
                <c:pt idx="1">
                  <c:v>HEV</c:v>
                </c:pt>
                <c:pt idx="2">
                  <c:v>PHEV20</c:v>
                </c:pt>
                <c:pt idx="3">
                  <c:v>PHEV60</c:v>
                </c:pt>
                <c:pt idx="4">
                  <c:v>BEV</c:v>
                </c:pt>
              </c:strCache>
            </c:strRef>
          </c:cat>
          <c:val>
            <c:numRef>
              <c:f>Manufacturing!$T$20:$T$24</c:f>
              <c:numCache>
                <c:formatCode>"$"#,##0</c:formatCode>
                <c:ptCount val="5"/>
                <c:pt idx="0">
                  <c:v>0.81004533559386183</c:v>
                </c:pt>
                <c:pt idx="1">
                  <c:v>2.0123314763674829</c:v>
                </c:pt>
                <c:pt idx="2">
                  <c:v>3.1011682362824153</c:v>
                </c:pt>
                <c:pt idx="3">
                  <c:v>10.636279785531599</c:v>
                </c:pt>
                <c:pt idx="4">
                  <c:v>44.114652550394844</c:v>
                </c:pt>
              </c:numCache>
            </c:numRef>
          </c:val>
        </c:ser>
        <c:ser>
          <c:idx val="5"/>
          <c:order val="5"/>
          <c:tx>
            <c:strRef>
              <c:f>Manufacturing!$U$7</c:f>
              <c:strCache>
                <c:ptCount val="1"/>
                <c:pt idx="0">
                  <c:v>PM10</c:v>
                </c:pt>
              </c:strCache>
            </c:strRef>
          </c:tx>
          <c:cat>
            <c:strRef>
              <c:f>Manufacturing!$O$20:$O$24</c:f>
              <c:strCache>
                <c:ptCount val="5"/>
                <c:pt idx="0">
                  <c:v>CV</c:v>
                </c:pt>
                <c:pt idx="1">
                  <c:v>HEV</c:v>
                </c:pt>
                <c:pt idx="2">
                  <c:v>PHEV20</c:v>
                </c:pt>
                <c:pt idx="3">
                  <c:v>PHEV60</c:v>
                </c:pt>
                <c:pt idx="4">
                  <c:v>BEV</c:v>
                </c:pt>
              </c:strCache>
            </c:strRef>
          </c:cat>
          <c:val>
            <c:numRef>
              <c:f>Manufacturing!$U$20:$U$24</c:f>
              <c:numCache>
                <c:formatCode>"$"#,##0</c:formatCode>
                <c:ptCount val="5"/>
                <c:pt idx="0">
                  <c:v>1.9833282269478389</c:v>
                </c:pt>
                <c:pt idx="1">
                  <c:v>4.4589206236553611</c:v>
                </c:pt>
                <c:pt idx="2">
                  <c:v>7.0690208159365415</c:v>
                </c:pt>
                <c:pt idx="3">
                  <c:v>24.245083619900957</c:v>
                </c:pt>
                <c:pt idx="4">
                  <c:v>100.55803923117122</c:v>
                </c:pt>
              </c:numCache>
            </c:numRef>
          </c:val>
        </c:ser>
        <c:ser>
          <c:idx val="6"/>
          <c:order val="6"/>
          <c:tx>
            <c:strRef>
              <c:f>Manufacturing!$V$7</c:f>
              <c:strCache>
                <c:ptCount val="1"/>
                <c:pt idx="0">
                  <c:v>PM2.5</c:v>
                </c:pt>
              </c:strCache>
            </c:strRef>
          </c:tx>
          <c:cat>
            <c:strRef>
              <c:f>Manufacturing!$O$20:$O$24</c:f>
              <c:strCache>
                <c:ptCount val="5"/>
                <c:pt idx="0">
                  <c:v>CV</c:v>
                </c:pt>
                <c:pt idx="1">
                  <c:v>HEV</c:v>
                </c:pt>
                <c:pt idx="2">
                  <c:v>PHEV20</c:v>
                </c:pt>
                <c:pt idx="3">
                  <c:v>PHEV60</c:v>
                </c:pt>
                <c:pt idx="4">
                  <c:v>BEV</c:v>
                </c:pt>
              </c:strCache>
            </c:strRef>
          </c:cat>
          <c:val>
            <c:numRef>
              <c:f>Manufacturing!$V$20:$V$24</c:f>
              <c:numCache>
                <c:formatCode>"$"#,##0</c:formatCode>
                <c:ptCount val="5"/>
                <c:pt idx="0">
                  <c:v>3.8104855966174993</c:v>
                </c:pt>
                <c:pt idx="1">
                  <c:v>8.6284991307408578</c:v>
                </c:pt>
                <c:pt idx="2">
                  <c:v>14.941361759951404</c:v>
                </c:pt>
                <c:pt idx="3">
                  <c:v>51.245366889928867</c:v>
                </c:pt>
                <c:pt idx="4">
                  <c:v>212.54344571133632</c:v>
                </c:pt>
              </c:numCache>
            </c:numRef>
          </c:val>
        </c:ser>
        <c:ser>
          <c:idx val="7"/>
          <c:order val="7"/>
          <c:tx>
            <c:strRef>
              <c:f>Manufacturing!$W$7</c:f>
              <c:strCache>
                <c:ptCount val="1"/>
                <c:pt idx="0">
                  <c:v>SO2</c:v>
                </c:pt>
              </c:strCache>
            </c:strRef>
          </c:tx>
          <c:cat>
            <c:strRef>
              <c:f>Manufacturing!$O$20:$O$24</c:f>
              <c:strCache>
                <c:ptCount val="5"/>
                <c:pt idx="0">
                  <c:v>CV</c:v>
                </c:pt>
                <c:pt idx="1">
                  <c:v>HEV</c:v>
                </c:pt>
                <c:pt idx="2">
                  <c:v>PHEV20</c:v>
                </c:pt>
                <c:pt idx="3">
                  <c:v>PHEV60</c:v>
                </c:pt>
                <c:pt idx="4">
                  <c:v>BEV</c:v>
                </c:pt>
              </c:strCache>
            </c:strRef>
          </c:cat>
          <c:val>
            <c:numRef>
              <c:f>Manufacturing!$W$20:$W$24</c:f>
              <c:numCache>
                <c:formatCode>"$"#,##0</c:formatCode>
                <c:ptCount val="5"/>
                <c:pt idx="0">
                  <c:v>11.859137997166494</c:v>
                </c:pt>
                <c:pt idx="1">
                  <c:v>77.031819172808028</c:v>
                </c:pt>
                <c:pt idx="2">
                  <c:v>71.118932010652401</c:v>
                </c:pt>
                <c:pt idx="3">
                  <c:v>243.92125846751753</c:v>
                </c:pt>
                <c:pt idx="4">
                  <c:v>1011.6790629734064</c:v>
                </c:pt>
              </c:numCache>
            </c:numRef>
          </c:val>
        </c:ser>
        <c:ser>
          <c:idx val="8"/>
          <c:order val="8"/>
          <c:tx>
            <c:strRef>
              <c:f>Manufacturing!$X$7</c:f>
              <c:strCache>
                <c:ptCount val="1"/>
                <c:pt idx="0">
                  <c:v>VOC</c:v>
                </c:pt>
              </c:strCache>
            </c:strRef>
          </c:tx>
          <c:cat>
            <c:strRef>
              <c:f>Manufacturing!$O$20:$O$24</c:f>
              <c:strCache>
                <c:ptCount val="5"/>
                <c:pt idx="0">
                  <c:v>CV</c:v>
                </c:pt>
                <c:pt idx="1">
                  <c:v>HEV</c:v>
                </c:pt>
                <c:pt idx="2">
                  <c:v>PHEV20</c:v>
                </c:pt>
                <c:pt idx="3">
                  <c:v>PHEV60</c:v>
                </c:pt>
                <c:pt idx="4">
                  <c:v>BEV</c:v>
                </c:pt>
              </c:strCache>
            </c:strRef>
          </c:cat>
          <c:val>
            <c:numRef>
              <c:f>Manufacturing!$X$20:$X$24</c:f>
              <c:numCache>
                <c:formatCode>"$"#,##0</c:formatCode>
                <c:ptCount val="5"/>
                <c:pt idx="0">
                  <c:v>6.637951150916388E-2</c:v>
                </c:pt>
                <c:pt idx="1">
                  <c:v>0.16350610791194747</c:v>
                </c:pt>
                <c:pt idx="2">
                  <c:v>0.23647462051913681</c:v>
                </c:pt>
                <c:pt idx="3">
                  <c:v>0.81105249195835527</c:v>
                </c:pt>
                <c:pt idx="4">
                  <c:v>3.3638922258838004</c:v>
                </c:pt>
              </c:numCache>
            </c:numRef>
          </c:val>
        </c:ser>
        <c:gapWidth val="55"/>
        <c:overlap val="100"/>
        <c:axId val="140073600"/>
        <c:axId val="140079488"/>
      </c:barChart>
      <c:catAx>
        <c:axId val="140073600"/>
        <c:scaling>
          <c:orientation val="minMax"/>
        </c:scaling>
        <c:axPos val="b"/>
        <c:majorTickMark val="none"/>
        <c:tickLblPos val="nextTo"/>
        <c:crossAx val="140079488"/>
        <c:crosses val="autoZero"/>
        <c:auto val="1"/>
        <c:lblAlgn val="ctr"/>
        <c:lblOffset val="100"/>
      </c:catAx>
      <c:valAx>
        <c:axId val="140079488"/>
        <c:scaling>
          <c:orientation val="minMax"/>
        </c:scaling>
        <c:axPos val="l"/>
        <c:numFmt formatCode="&quot;$&quot;#,##0" sourceLinked="1"/>
        <c:majorTickMark val="none"/>
        <c:tickLblPos val="nextTo"/>
        <c:crossAx val="140073600"/>
        <c:crosses val="autoZero"/>
        <c:crossBetween val="between"/>
      </c:valAx>
    </c:plotArea>
    <c:legend>
      <c:legendPos val="r"/>
      <c:layout>
        <c:manualLayout>
          <c:xMode val="edge"/>
          <c:yMode val="edge"/>
          <c:x val="0.8615264035391863"/>
          <c:y val="6.6344706911636034E-2"/>
          <c:w val="0.12754261232051867"/>
          <c:h val="0.76335996889277724"/>
        </c:manualLayout>
      </c:layout>
    </c:legend>
    <c:plotVisOnly val="1"/>
    <c:dispBlanksAs val="gap"/>
  </c:chart>
  <c:spPr>
    <a:ln>
      <a:noFill/>
    </a:ln>
  </c:spPr>
  <c:printSettings>
    <c:headerFooter/>
    <c:pageMargins b="0.75000000000001077" l="0.70000000000000062" r="0.70000000000000062" t="0.75000000000001077"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a:pPr>
            <a:r>
              <a:rPr lang="en-US" sz="1200"/>
              <a:t>Portion of Vehicles and Portion of Distance Traveled in CD-Mode</a:t>
            </a:r>
          </a:p>
        </c:rich>
      </c:tx>
    </c:title>
    <c:plotArea>
      <c:layout>
        <c:manualLayout>
          <c:layoutTarget val="inner"/>
          <c:xMode val="edge"/>
          <c:yMode val="edge"/>
          <c:x val="0.12269302668101954"/>
          <c:y val="0.20088899897514048"/>
          <c:w val="0.82342921882966069"/>
          <c:h val="0.62428825920002962"/>
        </c:manualLayout>
      </c:layout>
      <c:scatterChart>
        <c:scatterStyle val="smoothMarker"/>
        <c:ser>
          <c:idx val="2"/>
          <c:order val="0"/>
          <c:tx>
            <c:strRef>
              <c:f>AER!$C$6</c:f>
              <c:strCache>
                <c:ptCount val="1"/>
                <c:pt idx="0">
                  <c:v>CDF</c:v>
                </c:pt>
              </c:strCache>
            </c:strRef>
          </c:tx>
          <c:spPr>
            <a:ln w="22225">
              <a:solidFill>
                <a:schemeClr val="tx1"/>
              </a:solidFill>
              <a:prstDash val="sysDot"/>
            </a:ln>
          </c:spPr>
          <c:marker>
            <c:symbol val="none"/>
          </c:marker>
          <c:xVal>
            <c:numRef>
              <c:f>AER!$B$7:$B$25</c:f>
              <c:numCache>
                <c:formatCode>0.0</c:formatCode>
                <c:ptCount val="19"/>
                <c:pt idx="0">
                  <c:v>8.0467200000000005</c:v>
                </c:pt>
                <c:pt idx="1">
                  <c:v>16.093440000000001</c:v>
                </c:pt>
                <c:pt idx="2">
                  <c:v>22.530816000000002</c:v>
                </c:pt>
                <c:pt idx="3">
                  <c:v>30.577536000000002</c:v>
                </c:pt>
                <c:pt idx="4">
                  <c:v>40.233600000000003</c:v>
                </c:pt>
                <c:pt idx="5">
                  <c:v>51.499008000000003</c:v>
                </c:pt>
                <c:pt idx="6">
                  <c:v>65.983103999999997</c:v>
                </c:pt>
                <c:pt idx="7">
                  <c:v>90.123264000000006</c:v>
                </c:pt>
                <c:pt idx="8">
                  <c:v>135.18489600000001</c:v>
                </c:pt>
                <c:pt idx="9">
                  <c:v>160.93440000000001</c:v>
                </c:pt>
                <c:pt idx="10">
                  <c:v>321.86880000000002</c:v>
                </c:pt>
                <c:pt idx="11">
                  <c:v>482.80320000000006</c:v>
                </c:pt>
                <c:pt idx="12">
                  <c:v>643.73760000000004</c:v>
                </c:pt>
                <c:pt idx="13">
                  <c:v>804.67200000000003</c:v>
                </c:pt>
                <c:pt idx="14">
                  <c:v>965.60640000000012</c:v>
                </c:pt>
                <c:pt idx="15">
                  <c:v>1126.5408</c:v>
                </c:pt>
                <c:pt idx="16">
                  <c:v>1287.4752000000001</c:v>
                </c:pt>
                <c:pt idx="17">
                  <c:v>1448.4096000000002</c:v>
                </c:pt>
                <c:pt idx="18">
                  <c:v>1609.3440000000001</c:v>
                </c:pt>
              </c:numCache>
            </c:numRef>
          </c:xVal>
          <c:yVal>
            <c:numRef>
              <c:f>AER!$C$7:$C$25</c:f>
              <c:numCache>
                <c:formatCode>0.0%</c:formatCode>
                <c:ptCount val="19"/>
                <c:pt idx="0">
                  <c:v>0.1</c:v>
                </c:pt>
                <c:pt idx="1">
                  <c:v>0.2</c:v>
                </c:pt>
                <c:pt idx="2">
                  <c:v>0.3</c:v>
                </c:pt>
                <c:pt idx="3">
                  <c:v>0.4</c:v>
                </c:pt>
                <c:pt idx="4">
                  <c:v>0.5</c:v>
                </c:pt>
                <c:pt idx="5">
                  <c:v>0.6</c:v>
                </c:pt>
                <c:pt idx="6">
                  <c:v>0.7</c:v>
                </c:pt>
                <c:pt idx="7">
                  <c:v>0.8</c:v>
                </c:pt>
                <c:pt idx="8">
                  <c:v>0.9</c:v>
                </c:pt>
                <c:pt idx="9">
                  <c:v>0.92869999999999997</c:v>
                </c:pt>
                <c:pt idx="10">
                  <c:v>0.98109999999999997</c:v>
                </c:pt>
                <c:pt idx="11">
                  <c:v>0.99139999999999995</c:v>
                </c:pt>
                <c:pt idx="12">
                  <c:v>0.99460000000000004</c:v>
                </c:pt>
                <c:pt idx="13">
                  <c:v>0.99580000000000002</c:v>
                </c:pt>
                <c:pt idx="14">
                  <c:v>0.99729999999999996</c:v>
                </c:pt>
                <c:pt idx="15">
                  <c:v>0.99880000000000002</c:v>
                </c:pt>
                <c:pt idx="16">
                  <c:v>0.999</c:v>
                </c:pt>
                <c:pt idx="17">
                  <c:v>0.99919999999999998</c:v>
                </c:pt>
                <c:pt idx="18">
                  <c:v>0.99939999999999996</c:v>
                </c:pt>
              </c:numCache>
            </c:numRef>
          </c:yVal>
          <c:smooth val="1"/>
        </c:ser>
        <c:ser>
          <c:idx val="3"/>
          <c:order val="1"/>
          <c:tx>
            <c:strRef>
              <c:f>AER!$I$6</c:f>
              <c:strCache>
                <c:ptCount val="1"/>
                <c:pt idx="0">
                  <c:v>PHEV20</c:v>
                </c:pt>
              </c:strCache>
            </c:strRef>
          </c:tx>
          <c:spPr>
            <a:ln w="31750">
              <a:solidFill>
                <a:schemeClr val="accent4">
                  <a:lumMod val="75000"/>
                </a:schemeClr>
              </a:solidFill>
              <a:prstDash val="sysDash"/>
            </a:ln>
          </c:spPr>
          <c:marker>
            <c:symbol val="none"/>
          </c:marker>
          <c:xVal>
            <c:numRef>
              <c:f>AER!$B$7:$B$25</c:f>
              <c:numCache>
                <c:formatCode>0.0</c:formatCode>
                <c:ptCount val="19"/>
                <c:pt idx="0">
                  <c:v>8.0467200000000005</c:v>
                </c:pt>
                <c:pt idx="1">
                  <c:v>16.093440000000001</c:v>
                </c:pt>
                <c:pt idx="2">
                  <c:v>22.530816000000002</c:v>
                </c:pt>
                <c:pt idx="3">
                  <c:v>30.577536000000002</c:v>
                </c:pt>
                <c:pt idx="4">
                  <c:v>40.233600000000003</c:v>
                </c:pt>
                <c:pt idx="5">
                  <c:v>51.499008000000003</c:v>
                </c:pt>
                <c:pt idx="6">
                  <c:v>65.983103999999997</c:v>
                </c:pt>
                <c:pt idx="7">
                  <c:v>90.123264000000006</c:v>
                </c:pt>
                <c:pt idx="8">
                  <c:v>135.18489600000001</c:v>
                </c:pt>
                <c:pt idx="9">
                  <c:v>160.93440000000001</c:v>
                </c:pt>
                <c:pt idx="10">
                  <c:v>321.86880000000002</c:v>
                </c:pt>
                <c:pt idx="11">
                  <c:v>482.80320000000006</c:v>
                </c:pt>
                <c:pt idx="12">
                  <c:v>643.73760000000004</c:v>
                </c:pt>
                <c:pt idx="13">
                  <c:v>804.67200000000003</c:v>
                </c:pt>
                <c:pt idx="14">
                  <c:v>965.60640000000012</c:v>
                </c:pt>
                <c:pt idx="15">
                  <c:v>1126.5408</c:v>
                </c:pt>
                <c:pt idx="16">
                  <c:v>1287.4752000000001</c:v>
                </c:pt>
                <c:pt idx="17">
                  <c:v>1448.4096000000002</c:v>
                </c:pt>
                <c:pt idx="18">
                  <c:v>1609.3440000000001</c:v>
                </c:pt>
              </c:numCache>
            </c:numRef>
          </c:xVal>
          <c:yVal>
            <c:numRef>
              <c:f>AER!$I$7:$I$25</c:f>
              <c:numCache>
                <c:formatCode>0.0%</c:formatCode>
                <c:ptCount val="19"/>
                <c:pt idx="0">
                  <c:v>1</c:v>
                </c:pt>
                <c:pt idx="1">
                  <c:v>1</c:v>
                </c:pt>
                <c:pt idx="2">
                  <c:v>0.99780000000000002</c:v>
                </c:pt>
                <c:pt idx="3">
                  <c:v>0.91100000000000003</c:v>
                </c:pt>
                <c:pt idx="4">
                  <c:v>0.79</c:v>
                </c:pt>
                <c:pt idx="5">
                  <c:v>0.68859999999999999</c:v>
                </c:pt>
                <c:pt idx="6">
                  <c:v>0.59930000000000005</c:v>
                </c:pt>
                <c:pt idx="7">
                  <c:v>0.50290000000000001</c:v>
                </c:pt>
                <c:pt idx="8">
                  <c:v>0.41789999999999999</c:v>
                </c:pt>
                <c:pt idx="9">
                  <c:v>0.39069999999999999</c:v>
                </c:pt>
                <c:pt idx="10">
                  <c:v>0.33029999999999998</c:v>
                </c:pt>
                <c:pt idx="11">
                  <c:v>0.31140000000000001</c:v>
                </c:pt>
                <c:pt idx="12">
                  <c:v>0.3034</c:v>
                </c:pt>
                <c:pt idx="13">
                  <c:v>0.29959999999999998</c:v>
                </c:pt>
                <c:pt idx="14">
                  <c:v>0.29380000000000001</c:v>
                </c:pt>
                <c:pt idx="15">
                  <c:v>0.2873</c:v>
                </c:pt>
                <c:pt idx="16">
                  <c:v>0.2863</c:v>
                </c:pt>
                <c:pt idx="17">
                  <c:v>0.2853</c:v>
                </c:pt>
                <c:pt idx="18">
                  <c:v>0.28389999999999999</c:v>
                </c:pt>
              </c:numCache>
            </c:numRef>
          </c:yVal>
          <c:smooth val="1"/>
        </c:ser>
        <c:ser>
          <c:idx val="7"/>
          <c:order val="2"/>
          <c:tx>
            <c:strRef>
              <c:f>AER!$J$6</c:f>
              <c:strCache>
                <c:ptCount val="1"/>
                <c:pt idx="0">
                  <c:v>PHEV60</c:v>
                </c:pt>
              </c:strCache>
            </c:strRef>
          </c:tx>
          <c:spPr>
            <a:ln w="31750">
              <a:solidFill>
                <a:srgbClr val="F79646">
                  <a:lumMod val="75000"/>
                </a:srgbClr>
              </a:solidFill>
              <a:prstDash val="solid"/>
            </a:ln>
          </c:spPr>
          <c:marker>
            <c:symbol val="none"/>
          </c:marker>
          <c:xVal>
            <c:numRef>
              <c:f>AER!$B$7:$B$25</c:f>
              <c:numCache>
                <c:formatCode>0.0</c:formatCode>
                <c:ptCount val="19"/>
                <c:pt idx="0">
                  <c:v>8.0467200000000005</c:v>
                </c:pt>
                <c:pt idx="1">
                  <c:v>16.093440000000001</c:v>
                </c:pt>
                <c:pt idx="2">
                  <c:v>22.530816000000002</c:v>
                </c:pt>
                <c:pt idx="3">
                  <c:v>30.577536000000002</c:v>
                </c:pt>
                <c:pt idx="4">
                  <c:v>40.233600000000003</c:v>
                </c:pt>
                <c:pt idx="5">
                  <c:v>51.499008000000003</c:v>
                </c:pt>
                <c:pt idx="6">
                  <c:v>65.983103999999997</c:v>
                </c:pt>
                <c:pt idx="7">
                  <c:v>90.123264000000006</c:v>
                </c:pt>
                <c:pt idx="8">
                  <c:v>135.18489600000001</c:v>
                </c:pt>
                <c:pt idx="9">
                  <c:v>160.93440000000001</c:v>
                </c:pt>
                <c:pt idx="10">
                  <c:v>321.86880000000002</c:v>
                </c:pt>
                <c:pt idx="11">
                  <c:v>482.80320000000006</c:v>
                </c:pt>
                <c:pt idx="12">
                  <c:v>643.73760000000004</c:v>
                </c:pt>
                <c:pt idx="13">
                  <c:v>804.67200000000003</c:v>
                </c:pt>
                <c:pt idx="14">
                  <c:v>965.60640000000012</c:v>
                </c:pt>
                <c:pt idx="15">
                  <c:v>1126.5408</c:v>
                </c:pt>
                <c:pt idx="16">
                  <c:v>1287.4752000000001</c:v>
                </c:pt>
                <c:pt idx="17">
                  <c:v>1448.4096000000002</c:v>
                </c:pt>
                <c:pt idx="18">
                  <c:v>1609.3440000000001</c:v>
                </c:pt>
              </c:numCache>
            </c:numRef>
          </c:xVal>
          <c:yVal>
            <c:numRef>
              <c:f>AER!$J$7:$J$25</c:f>
              <c:numCache>
                <c:formatCode>0.0%</c:formatCode>
                <c:ptCount val="19"/>
                <c:pt idx="0">
                  <c:v>1</c:v>
                </c:pt>
                <c:pt idx="1">
                  <c:v>1</c:v>
                </c:pt>
                <c:pt idx="2">
                  <c:v>1</c:v>
                </c:pt>
                <c:pt idx="3">
                  <c:v>1</c:v>
                </c:pt>
                <c:pt idx="4">
                  <c:v>1</c:v>
                </c:pt>
                <c:pt idx="5">
                  <c:v>0.9637</c:v>
                </c:pt>
                <c:pt idx="6">
                  <c:v>0.88959999999999995</c:v>
                </c:pt>
                <c:pt idx="7">
                  <c:v>0.78169999999999995</c:v>
                </c:pt>
                <c:pt idx="8">
                  <c:v>0.66890000000000005</c:v>
                </c:pt>
                <c:pt idx="9">
                  <c:v>0.63</c:v>
                </c:pt>
                <c:pt idx="10">
                  <c:v>0.53890000000000005</c:v>
                </c:pt>
                <c:pt idx="11">
                  <c:v>0.50919999999999999</c:v>
                </c:pt>
                <c:pt idx="12">
                  <c:v>0.49640000000000001</c:v>
                </c:pt>
                <c:pt idx="13">
                  <c:v>0.49030000000000001</c:v>
                </c:pt>
                <c:pt idx="14">
                  <c:v>0.48099999999999998</c:v>
                </c:pt>
                <c:pt idx="15">
                  <c:v>0.47039999999999998</c:v>
                </c:pt>
                <c:pt idx="16">
                  <c:v>0.46889999999999998</c:v>
                </c:pt>
                <c:pt idx="17">
                  <c:v>0.4672</c:v>
                </c:pt>
                <c:pt idx="18">
                  <c:v>0.46500000000000002</c:v>
                </c:pt>
              </c:numCache>
            </c:numRef>
          </c:yVal>
          <c:smooth val="1"/>
        </c:ser>
        <c:axId val="102131584"/>
        <c:axId val="102146048"/>
      </c:scatterChart>
      <c:valAx>
        <c:axId val="102131584"/>
        <c:scaling>
          <c:orientation val="minMax"/>
          <c:max val="1600"/>
          <c:min val="0"/>
        </c:scaling>
        <c:axPos val="b"/>
        <c:majorGridlines>
          <c:spPr>
            <a:ln>
              <a:solidFill>
                <a:schemeClr val="bg1">
                  <a:lumMod val="85000"/>
                </a:schemeClr>
              </a:solidFill>
            </a:ln>
          </c:spPr>
        </c:majorGridlines>
        <c:title>
          <c:tx>
            <c:rich>
              <a:bodyPr/>
              <a:lstStyle/>
              <a:p>
                <a:pPr>
                  <a:defRPr/>
                </a:pPr>
                <a:r>
                  <a:rPr lang="en-US" baseline="0"/>
                  <a:t>Distance </a:t>
                </a:r>
                <a:r>
                  <a:rPr lang="en-US"/>
                  <a:t>(km)</a:t>
                </a:r>
              </a:p>
            </c:rich>
          </c:tx>
          <c:layout>
            <c:manualLayout>
              <c:xMode val="edge"/>
              <c:yMode val="edge"/>
              <c:x val="0.42858002892418351"/>
              <c:y val="0.9131534317106843"/>
            </c:manualLayout>
          </c:layout>
        </c:title>
        <c:numFmt formatCode="0" sourceLinked="0"/>
        <c:majorTickMark val="in"/>
        <c:minorTickMark val="in"/>
        <c:tickLblPos val="nextTo"/>
        <c:crossAx val="102146048"/>
        <c:crosses val="autoZero"/>
        <c:crossBetween val="midCat"/>
      </c:valAx>
      <c:valAx>
        <c:axId val="102146048"/>
        <c:scaling>
          <c:orientation val="minMax"/>
          <c:max val="1"/>
        </c:scaling>
        <c:axPos val="l"/>
        <c:majorGridlines>
          <c:spPr>
            <a:ln>
              <a:solidFill>
                <a:schemeClr val="bg1">
                  <a:lumMod val="85000"/>
                </a:schemeClr>
              </a:solidFill>
            </a:ln>
          </c:spPr>
        </c:majorGridlines>
        <c:numFmt formatCode="0%" sourceLinked="0"/>
        <c:majorTickMark val="in"/>
        <c:tickLblPos val="nextTo"/>
        <c:crossAx val="102131584"/>
        <c:crosses val="autoZero"/>
        <c:crossBetween val="midCat"/>
        <c:majorUnit val="0.25"/>
      </c:valAx>
      <c:spPr>
        <a:noFill/>
        <a:ln w="25400">
          <a:noFill/>
        </a:ln>
      </c:spPr>
    </c:plotArea>
    <c:legend>
      <c:legendPos val="r"/>
      <c:layout>
        <c:manualLayout>
          <c:xMode val="edge"/>
          <c:yMode val="edge"/>
          <c:x val="0.13519422855395019"/>
          <c:y val="0.67665564416824409"/>
          <c:w val="0.24766296983910291"/>
          <c:h val="0.14947771901021534"/>
        </c:manualLayout>
      </c:layout>
    </c:legend>
    <c:plotVisOnly val="1"/>
    <c:dispBlanksAs val="gap"/>
  </c:chart>
  <c:spPr>
    <a:ln>
      <a:noFill/>
    </a:ln>
  </c:spPr>
  <c:printSettings>
    <c:headerFooter/>
    <c:pageMargins b="0.75000000000000766" l="0.70000000000000062" r="0.70000000000000062" t="0.75000000000000766"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Vehicle Ownership Costs</a:t>
            </a:r>
          </a:p>
        </c:rich>
      </c:tx>
    </c:title>
    <c:plotArea>
      <c:layout/>
      <c:barChart>
        <c:barDir val="col"/>
        <c:grouping val="stacked"/>
        <c:ser>
          <c:idx val="0"/>
          <c:order val="0"/>
          <c:tx>
            <c:strRef>
              <c:f>OwnershipCost!$B$4</c:f>
              <c:strCache>
                <c:ptCount val="1"/>
                <c:pt idx="0">
                  <c:v>Base Vehicle Cost</c:v>
                </c:pt>
              </c:strCache>
            </c:strRef>
          </c:tx>
          <c:cat>
            <c:strRef>
              <c:f>OwnershipCost!$A$5:$A$9</c:f>
              <c:strCache>
                <c:ptCount val="5"/>
                <c:pt idx="0">
                  <c:v>CV</c:v>
                </c:pt>
                <c:pt idx="1">
                  <c:v>HEV</c:v>
                </c:pt>
                <c:pt idx="2">
                  <c:v>PHEV20</c:v>
                </c:pt>
                <c:pt idx="3">
                  <c:v>PHEV60</c:v>
                </c:pt>
                <c:pt idx="4">
                  <c:v>BEV</c:v>
                </c:pt>
              </c:strCache>
            </c:strRef>
          </c:cat>
          <c:val>
            <c:numRef>
              <c:f>OwnershipCost!$B$5:$B$9</c:f>
              <c:numCache>
                <c:formatCode>"$"#,##0</c:formatCode>
                <c:ptCount val="5"/>
                <c:pt idx="0">
                  <c:v>23019.490021615933</c:v>
                </c:pt>
                <c:pt idx="1">
                  <c:v>24799.941964129226</c:v>
                </c:pt>
                <c:pt idx="2">
                  <c:v>25665.680796868604</c:v>
                </c:pt>
                <c:pt idx="3">
                  <c:v>25728.873412397024</c:v>
                </c:pt>
                <c:pt idx="4">
                  <c:v>20496.524846643686</c:v>
                </c:pt>
              </c:numCache>
            </c:numRef>
          </c:val>
        </c:ser>
        <c:ser>
          <c:idx val="1"/>
          <c:order val="1"/>
          <c:tx>
            <c:strRef>
              <c:f>OwnershipCost!$C$4</c:f>
              <c:strCache>
                <c:ptCount val="1"/>
                <c:pt idx="0">
                  <c:v>Initial Battery Cost</c:v>
                </c:pt>
              </c:strCache>
            </c:strRef>
          </c:tx>
          <c:cat>
            <c:strRef>
              <c:f>OwnershipCost!$A$5:$A$9</c:f>
              <c:strCache>
                <c:ptCount val="5"/>
                <c:pt idx="0">
                  <c:v>CV</c:v>
                </c:pt>
                <c:pt idx="1">
                  <c:v>HEV</c:v>
                </c:pt>
                <c:pt idx="2">
                  <c:v>PHEV20</c:v>
                </c:pt>
                <c:pt idx="3">
                  <c:v>PHEV60</c:v>
                </c:pt>
                <c:pt idx="4">
                  <c:v>BEV</c:v>
                </c:pt>
              </c:strCache>
            </c:strRef>
          </c:cat>
          <c:val>
            <c:numRef>
              <c:f>OwnershipCost!$C$5:$C$9</c:f>
              <c:numCache>
                <c:formatCode>"$"#,##0</c:formatCode>
                <c:ptCount val="5"/>
                <c:pt idx="0">
                  <c:v>0</c:v>
                </c:pt>
                <c:pt idx="1">
                  <c:v>2067.978343167611</c:v>
                </c:pt>
                <c:pt idx="2">
                  <c:v>2631.9724367587778</c:v>
                </c:pt>
                <c:pt idx="3">
                  <c:v>8730.0598352515044</c:v>
                </c:pt>
                <c:pt idx="4">
                  <c:v>31953.346041946596</c:v>
                </c:pt>
              </c:numCache>
            </c:numRef>
          </c:val>
        </c:ser>
        <c:ser>
          <c:idx val="2"/>
          <c:order val="2"/>
          <c:tx>
            <c:strRef>
              <c:f>OwnershipCost!$D$4</c:f>
              <c:strCache>
                <c:ptCount val="1"/>
                <c:pt idx="0">
                  <c:v>Battery Replacement Cost</c:v>
                </c:pt>
              </c:strCache>
            </c:strRef>
          </c:tx>
          <c:cat>
            <c:strRef>
              <c:f>OwnershipCost!$A$5:$A$9</c:f>
              <c:strCache>
                <c:ptCount val="5"/>
                <c:pt idx="0">
                  <c:v>CV</c:v>
                </c:pt>
                <c:pt idx="1">
                  <c:v>HEV</c:v>
                </c:pt>
                <c:pt idx="2">
                  <c:v>PHEV20</c:v>
                </c:pt>
                <c:pt idx="3">
                  <c:v>PHEV60</c:v>
                </c:pt>
                <c:pt idx="4">
                  <c:v>BEV</c:v>
                </c:pt>
              </c:strCache>
            </c:strRef>
          </c:cat>
          <c:val>
            <c:numRef>
              <c:f>OwnershipCost!$D$5:$D$9</c:f>
              <c:numCache>
                <c:formatCode>"$"#,##0</c:formatCode>
                <c:ptCount val="5"/>
                <c:pt idx="0">
                  <c:v>0</c:v>
                </c:pt>
                <c:pt idx="1">
                  <c:v>0</c:v>
                </c:pt>
                <c:pt idx="2">
                  <c:v>0</c:v>
                </c:pt>
                <c:pt idx="3">
                  <c:v>0</c:v>
                </c:pt>
                <c:pt idx="4">
                  <c:v>0</c:v>
                </c:pt>
              </c:numCache>
            </c:numRef>
          </c:val>
        </c:ser>
        <c:ser>
          <c:idx val="3"/>
          <c:order val="3"/>
          <c:tx>
            <c:strRef>
              <c:f>OwnershipCost!$E$4</c:f>
              <c:strCache>
                <c:ptCount val="1"/>
                <c:pt idx="0">
                  <c:v>Lifetime Gasoline Cost</c:v>
                </c:pt>
              </c:strCache>
            </c:strRef>
          </c:tx>
          <c:cat>
            <c:strRef>
              <c:f>OwnershipCost!$A$5:$A$9</c:f>
              <c:strCache>
                <c:ptCount val="5"/>
                <c:pt idx="0">
                  <c:v>CV</c:v>
                </c:pt>
                <c:pt idx="1">
                  <c:v>HEV</c:v>
                </c:pt>
                <c:pt idx="2">
                  <c:v>PHEV20</c:v>
                </c:pt>
                <c:pt idx="3">
                  <c:v>PHEV60</c:v>
                </c:pt>
                <c:pt idx="4">
                  <c:v>BEV</c:v>
                </c:pt>
              </c:strCache>
            </c:strRef>
          </c:cat>
          <c:val>
            <c:numRef>
              <c:f>OwnershipCost!$E$5:$E$9</c:f>
              <c:numCache>
                <c:formatCode>"$"#,##0</c:formatCode>
                <c:ptCount val="5"/>
                <c:pt idx="0">
                  <c:v>12386.239508244789</c:v>
                </c:pt>
                <c:pt idx="1">
                  <c:v>8847.3139344605643</c:v>
                </c:pt>
                <c:pt idx="2">
                  <c:v>7189.0614919024256</c:v>
                </c:pt>
                <c:pt idx="3">
                  <c:v>6226.4230100894329</c:v>
                </c:pt>
                <c:pt idx="4">
                  <c:v>0</c:v>
                </c:pt>
              </c:numCache>
            </c:numRef>
          </c:val>
        </c:ser>
        <c:ser>
          <c:idx val="4"/>
          <c:order val="4"/>
          <c:tx>
            <c:strRef>
              <c:f>OwnershipCost!$F$4</c:f>
              <c:strCache>
                <c:ptCount val="1"/>
                <c:pt idx="0">
                  <c:v>Lifetime Electricity Cost</c:v>
                </c:pt>
              </c:strCache>
            </c:strRef>
          </c:tx>
          <c:cat>
            <c:strRef>
              <c:f>OwnershipCost!$A$5:$A$9</c:f>
              <c:strCache>
                <c:ptCount val="5"/>
                <c:pt idx="0">
                  <c:v>CV</c:v>
                </c:pt>
                <c:pt idx="1">
                  <c:v>HEV</c:v>
                </c:pt>
                <c:pt idx="2">
                  <c:v>PHEV20</c:v>
                </c:pt>
                <c:pt idx="3">
                  <c:v>PHEV60</c:v>
                </c:pt>
                <c:pt idx="4">
                  <c:v>BEV</c:v>
                </c:pt>
              </c:strCache>
            </c:strRef>
          </c:cat>
          <c:val>
            <c:numRef>
              <c:f>OwnershipCost!$F$5:$F$9</c:f>
              <c:numCache>
                <c:formatCode>"$"#,##0</c:formatCode>
                <c:ptCount val="5"/>
                <c:pt idx="0">
                  <c:v>0</c:v>
                </c:pt>
                <c:pt idx="1">
                  <c:v>0</c:v>
                </c:pt>
                <c:pt idx="2">
                  <c:v>787.62568701449754</c:v>
                </c:pt>
                <c:pt idx="3">
                  <c:v>2314.2026082352727</c:v>
                </c:pt>
                <c:pt idx="4">
                  <c:v>5281.9362399936672</c:v>
                </c:pt>
              </c:numCache>
            </c:numRef>
          </c:val>
        </c:ser>
        <c:ser>
          <c:idx val="5"/>
          <c:order val="5"/>
          <c:tx>
            <c:strRef>
              <c:f>OwnershipCost!$G$4</c:f>
              <c:strCache>
                <c:ptCount val="1"/>
                <c:pt idx="0">
                  <c:v>Scheduled Mainten-ance Cost</c:v>
                </c:pt>
              </c:strCache>
            </c:strRef>
          </c:tx>
          <c:cat>
            <c:strRef>
              <c:f>OwnershipCost!$A$5:$A$9</c:f>
              <c:strCache>
                <c:ptCount val="5"/>
                <c:pt idx="0">
                  <c:v>CV</c:v>
                </c:pt>
                <c:pt idx="1">
                  <c:v>HEV</c:v>
                </c:pt>
                <c:pt idx="2">
                  <c:v>PHEV20</c:v>
                </c:pt>
                <c:pt idx="3">
                  <c:v>PHEV60</c:v>
                </c:pt>
                <c:pt idx="4">
                  <c:v>BEV</c:v>
                </c:pt>
              </c:strCache>
            </c:strRef>
          </c:cat>
          <c:val>
            <c:numRef>
              <c:f>OwnershipCost!$G$5:$G$9</c:f>
              <c:numCache>
                <c:formatCode>"$"#,##0</c:formatCode>
                <c:ptCount val="5"/>
                <c:pt idx="0">
                  <c:v>4379.9559833068452</c:v>
                </c:pt>
                <c:pt idx="1">
                  <c:v>3961.7852942126851</c:v>
                </c:pt>
                <c:pt idx="2">
                  <c:v>3234.9494096753001</c:v>
                </c:pt>
                <c:pt idx="3">
                  <c:v>3234.9494096753001</c:v>
                </c:pt>
                <c:pt idx="4">
                  <c:v>2232.3495903035837</c:v>
                </c:pt>
              </c:numCache>
            </c:numRef>
          </c:val>
        </c:ser>
        <c:ser>
          <c:idx val="6"/>
          <c:order val="6"/>
          <c:tx>
            <c:strRef>
              <c:f>OwnershipCost!$H$4</c:f>
              <c:strCache>
                <c:ptCount val="1"/>
                <c:pt idx="0">
                  <c:v>Charger Cost</c:v>
                </c:pt>
              </c:strCache>
            </c:strRef>
          </c:tx>
          <c:cat>
            <c:strRef>
              <c:f>OwnershipCost!$A$5:$A$9</c:f>
              <c:strCache>
                <c:ptCount val="5"/>
                <c:pt idx="0">
                  <c:v>CV</c:v>
                </c:pt>
                <c:pt idx="1">
                  <c:v>HEV</c:v>
                </c:pt>
                <c:pt idx="2">
                  <c:v>PHEV20</c:v>
                </c:pt>
                <c:pt idx="3">
                  <c:v>PHEV60</c:v>
                </c:pt>
                <c:pt idx="4">
                  <c:v>BEV</c:v>
                </c:pt>
              </c:strCache>
            </c:strRef>
          </c:cat>
          <c:val>
            <c:numRef>
              <c:f>OwnershipCost!$H$5:$H$9</c:f>
              <c:numCache>
                <c:formatCode>"$"#,##0</c:formatCode>
                <c:ptCount val="5"/>
                <c:pt idx="0">
                  <c:v>0</c:v>
                </c:pt>
                <c:pt idx="1">
                  <c:v>0</c:v>
                </c:pt>
                <c:pt idx="2">
                  <c:v>1200</c:v>
                </c:pt>
                <c:pt idx="3">
                  <c:v>2400</c:v>
                </c:pt>
                <c:pt idx="4">
                  <c:v>2400</c:v>
                </c:pt>
              </c:numCache>
            </c:numRef>
          </c:val>
        </c:ser>
        <c:gapWidth val="55"/>
        <c:overlap val="100"/>
        <c:axId val="140473088"/>
        <c:axId val="140474624"/>
      </c:barChart>
      <c:catAx>
        <c:axId val="140473088"/>
        <c:scaling>
          <c:orientation val="minMax"/>
        </c:scaling>
        <c:axPos val="b"/>
        <c:majorTickMark val="none"/>
        <c:tickLblPos val="nextTo"/>
        <c:crossAx val="140474624"/>
        <c:crosses val="autoZero"/>
        <c:auto val="1"/>
        <c:lblAlgn val="ctr"/>
        <c:lblOffset val="100"/>
      </c:catAx>
      <c:valAx>
        <c:axId val="140474624"/>
        <c:scaling>
          <c:orientation val="minMax"/>
        </c:scaling>
        <c:axPos val="l"/>
        <c:numFmt formatCode="&quot;$&quot;#,##0" sourceLinked="1"/>
        <c:majorTickMark val="none"/>
        <c:tickLblPos val="nextTo"/>
        <c:crossAx val="140473088"/>
        <c:crosses val="autoZero"/>
        <c:crossBetween val="between"/>
      </c:valAx>
    </c:plotArea>
    <c:legend>
      <c:legendPos val="r"/>
    </c:legend>
    <c:plotVisOnly val="1"/>
    <c:dispBlanksAs val="gap"/>
  </c:chart>
  <c:spPr>
    <a:ln>
      <a:noFill/>
    </a:ln>
  </c:spPr>
  <c:printSettings>
    <c:headerFooter/>
    <c:pageMargins b="0.75000000000001055" l="0.70000000000000062" r="0.70000000000000062" t="0.750000000000010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4.jpeg"/><Relationship Id="rId5" Type="http://schemas.openxmlformats.org/officeDocument/2006/relationships/chart" Target="../charts/chart18.xml"/><Relationship Id="rId4"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22</xdr:col>
      <xdr:colOff>19050</xdr:colOff>
      <xdr:row>3</xdr:row>
      <xdr:rowOff>47625</xdr:rowOff>
    </xdr:from>
    <xdr:to>
      <xdr:col>22</xdr:col>
      <xdr:colOff>4333875</xdr:colOff>
      <xdr:row>19</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28574</xdr:colOff>
      <xdr:row>20</xdr:row>
      <xdr:rowOff>19049</xdr:rowOff>
    </xdr:from>
    <xdr:to>
      <xdr:col>22</xdr:col>
      <xdr:colOff>4333875</xdr:colOff>
      <xdr:row>36</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21166</xdr:colOff>
      <xdr:row>38</xdr:row>
      <xdr:rowOff>0</xdr:rowOff>
    </xdr:from>
    <xdr:to>
      <xdr:col>22</xdr:col>
      <xdr:colOff>4940300</xdr:colOff>
      <xdr:row>54</xdr:row>
      <xdr:rowOff>148167</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21167</xdr:colOff>
      <xdr:row>56</xdr:row>
      <xdr:rowOff>21166</xdr:rowOff>
    </xdr:from>
    <xdr:to>
      <xdr:col>22</xdr:col>
      <xdr:colOff>5535085</xdr:colOff>
      <xdr:row>81</xdr:row>
      <xdr:rowOff>105832</xdr:rowOff>
    </xdr:to>
    <xdr:grpSp>
      <xdr:nvGrpSpPr>
        <xdr:cNvPr id="14" name="Group 13"/>
        <xdr:cNvGrpSpPr/>
      </xdr:nvGrpSpPr>
      <xdr:grpSpPr>
        <a:xfrm>
          <a:off x="11498792" y="9891447"/>
          <a:ext cx="5513918" cy="4251854"/>
          <a:chOff x="9652000" y="9387416"/>
          <a:chExt cx="5513918" cy="4063999"/>
        </a:xfrm>
      </xdr:grpSpPr>
      <xdr:graphicFrame macro="">
        <xdr:nvGraphicFramePr>
          <xdr:cNvPr id="12" name="Chart 11"/>
          <xdr:cNvGraphicFramePr/>
        </xdr:nvGraphicFramePr>
        <xdr:xfrm>
          <a:off x="9652000" y="9387416"/>
          <a:ext cx="5513918" cy="4063999"/>
        </xdr:xfrm>
        <a:graphic>
          <a:graphicData uri="http://schemas.openxmlformats.org/drawingml/2006/chart">
            <c:chart xmlns:c="http://schemas.openxmlformats.org/drawingml/2006/chart" xmlns:r="http://schemas.openxmlformats.org/officeDocument/2006/relationships" r:id="rId4"/>
          </a:graphicData>
        </a:graphic>
      </xdr:graphicFrame>
      <xdr:cxnSp macro="">
        <xdr:nvCxnSpPr>
          <xdr:cNvPr id="7" name="Straight Connector 6"/>
          <xdr:cNvCxnSpPr/>
        </xdr:nvCxnSpPr>
        <xdr:spPr>
          <a:xfrm rot="5400000" flipH="1" flipV="1">
            <a:off x="9337147" y="11646959"/>
            <a:ext cx="3439583" cy="0"/>
          </a:xfrm>
          <a:prstGeom prst="line">
            <a:avLst/>
          </a:prstGeom>
          <a:ln w="1905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rot="5400000" flipH="1" flipV="1">
            <a:off x="10116612" y="11651192"/>
            <a:ext cx="3439583" cy="0"/>
          </a:xfrm>
          <a:prstGeom prst="line">
            <a:avLst/>
          </a:prstGeom>
          <a:ln w="1905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rot="5400000" flipH="1" flipV="1">
            <a:off x="10913274" y="11644843"/>
            <a:ext cx="3439583" cy="0"/>
          </a:xfrm>
          <a:prstGeom prst="line">
            <a:avLst/>
          </a:prstGeom>
          <a:ln w="1905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rot="5400000" flipH="1" flipV="1">
            <a:off x="11695385" y="11649077"/>
            <a:ext cx="3439583" cy="0"/>
          </a:xfrm>
          <a:prstGeom prst="line">
            <a:avLst/>
          </a:prstGeom>
          <a:ln w="1905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rot="5400000" flipH="1" flipV="1">
            <a:off x="12489402" y="11642727"/>
            <a:ext cx="3439583" cy="0"/>
          </a:xfrm>
          <a:prstGeom prst="line">
            <a:avLst/>
          </a:prstGeom>
          <a:ln w="1905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50</xdr:col>
      <xdr:colOff>23886</xdr:colOff>
      <xdr:row>166</xdr:row>
      <xdr:rowOff>18596</xdr:rowOff>
    </xdr:from>
    <xdr:to>
      <xdr:col>57</xdr:col>
      <xdr:colOff>517524</xdr:colOff>
      <xdr:row>185</xdr:row>
      <xdr:rowOff>71210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41</xdr:col>
      <xdr:colOff>500063</xdr:colOff>
      <xdr:row>143</xdr:row>
      <xdr:rowOff>102886</xdr:rowOff>
    </xdr:from>
    <xdr:to>
      <xdr:col>67</xdr:col>
      <xdr:colOff>428624</xdr:colOff>
      <xdr:row>162</xdr:row>
      <xdr:rowOff>123298</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69</xdr:col>
      <xdr:colOff>23886</xdr:colOff>
      <xdr:row>92</xdr:row>
      <xdr:rowOff>161471</xdr:rowOff>
    </xdr:from>
    <xdr:to>
      <xdr:col>77</xdr:col>
      <xdr:colOff>79375</xdr:colOff>
      <xdr:row>112</xdr:row>
      <xdr:rowOff>52160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69</xdr:col>
      <xdr:colOff>49549</xdr:colOff>
      <xdr:row>3</xdr:row>
      <xdr:rowOff>74084</xdr:rowOff>
    </xdr:from>
    <xdr:to>
      <xdr:col>85</xdr:col>
      <xdr:colOff>1714500</xdr:colOff>
      <xdr:row>25</xdr:row>
      <xdr:rowOff>84667</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58</xdr:col>
      <xdr:colOff>92869</xdr:colOff>
      <xdr:row>166</xdr:row>
      <xdr:rowOff>21432</xdr:rowOff>
    </xdr:from>
    <xdr:to>
      <xdr:col>67</xdr:col>
      <xdr:colOff>586507</xdr:colOff>
      <xdr:row>185</xdr:row>
      <xdr:rowOff>78808</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77</xdr:col>
      <xdr:colOff>28575</xdr:colOff>
      <xdr:row>92</xdr:row>
      <xdr:rowOff>142875</xdr:rowOff>
    </xdr:from>
    <xdr:to>
      <xdr:col>85</xdr:col>
      <xdr:colOff>1912864</xdr:colOff>
      <xdr:row>112</xdr:row>
      <xdr:rowOff>33564</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xdr:col>
      <xdr:colOff>4679160</xdr:colOff>
      <xdr:row>64</xdr:row>
      <xdr:rowOff>9260</xdr:rowOff>
    </xdr:from>
    <xdr:to>
      <xdr:col>22</xdr:col>
      <xdr:colOff>5429250</xdr:colOff>
      <xdr:row>64</xdr:row>
      <xdr:rowOff>9260</xdr:rowOff>
    </xdr:to>
    <xdr:cxnSp macro="">
      <xdr:nvCxnSpPr>
        <xdr:cNvPr id="22" name="Straight Connector 21"/>
        <xdr:cNvCxnSpPr/>
      </xdr:nvCxnSpPr>
      <xdr:spPr>
        <a:xfrm>
          <a:off x="16156785" y="11165416"/>
          <a:ext cx="750090" cy="0"/>
        </a:xfrm>
        <a:prstGeom prst="line">
          <a:avLst/>
        </a:prstGeom>
        <a:ln w="1905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4652699</xdr:colOff>
      <xdr:row>59</xdr:row>
      <xdr:rowOff>56885</xdr:rowOff>
    </xdr:from>
    <xdr:to>
      <xdr:col>22</xdr:col>
      <xdr:colOff>5402789</xdr:colOff>
      <xdr:row>59</xdr:row>
      <xdr:rowOff>56885</xdr:rowOff>
    </xdr:to>
    <xdr:cxnSp macro="">
      <xdr:nvCxnSpPr>
        <xdr:cNvPr id="26" name="Straight Connector 25"/>
        <xdr:cNvCxnSpPr/>
      </xdr:nvCxnSpPr>
      <xdr:spPr>
        <a:xfrm>
          <a:off x="16130324" y="10379604"/>
          <a:ext cx="750090" cy="0"/>
        </a:xfrm>
        <a:prstGeom prst="line">
          <a:avLst/>
        </a:prstGeom>
        <a:ln w="1905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4664605</xdr:colOff>
      <xdr:row>75</xdr:row>
      <xdr:rowOff>21166</xdr:rowOff>
    </xdr:from>
    <xdr:to>
      <xdr:col>22</xdr:col>
      <xdr:colOff>5414695</xdr:colOff>
      <xdr:row>75</xdr:row>
      <xdr:rowOff>21166</xdr:rowOff>
    </xdr:to>
    <xdr:cxnSp macro="">
      <xdr:nvCxnSpPr>
        <xdr:cNvPr id="27" name="Straight Connector 26"/>
        <xdr:cNvCxnSpPr/>
      </xdr:nvCxnSpPr>
      <xdr:spPr>
        <a:xfrm>
          <a:off x="16142230" y="13010885"/>
          <a:ext cx="750090" cy="0"/>
        </a:xfrm>
        <a:prstGeom prst="line">
          <a:avLst/>
        </a:prstGeom>
        <a:ln w="1905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359835</xdr:colOff>
      <xdr:row>42</xdr:row>
      <xdr:rowOff>31751</xdr:rowOff>
    </xdr:from>
    <xdr:to>
      <xdr:col>19</xdr:col>
      <xdr:colOff>154781</xdr:colOff>
      <xdr:row>59</xdr:row>
      <xdr:rowOff>52918</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50</xdr:col>
      <xdr:colOff>19050</xdr:colOff>
      <xdr:row>21</xdr:row>
      <xdr:rowOff>45244</xdr:rowOff>
    </xdr:from>
    <xdr:to>
      <xdr:col>68</xdr:col>
      <xdr:colOff>409575</xdr:colOff>
      <xdr:row>39</xdr:row>
      <xdr:rowOff>56129</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50</xdr:col>
      <xdr:colOff>171450</xdr:colOff>
      <xdr:row>3</xdr:row>
      <xdr:rowOff>145255</xdr:rowOff>
    </xdr:from>
    <xdr:to>
      <xdr:col>68</xdr:col>
      <xdr:colOff>371475</xdr:colOff>
      <xdr:row>23</xdr:row>
      <xdr:rowOff>45243</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0.37677</cdr:x>
      <cdr:y>0.19291</cdr:y>
    </cdr:from>
    <cdr:to>
      <cdr:x>0.39692</cdr:x>
      <cdr:y>0.42913</cdr:y>
    </cdr:to>
    <cdr:sp macro="" textlink="">
      <cdr:nvSpPr>
        <cdr:cNvPr id="5" name="TextBox 20"/>
        <cdr:cNvSpPr txBox="1"/>
      </cdr:nvSpPr>
      <cdr:spPr>
        <a:xfrm xmlns:a="http://schemas.openxmlformats.org/drawingml/2006/main" rot="17436937">
          <a:off x="1492350" y="906181"/>
          <a:ext cx="724927" cy="9661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95% worst (coal)</a:t>
          </a:r>
        </a:p>
      </cdr:txBody>
    </cdr:sp>
  </cdr:relSizeAnchor>
  <cdr:relSizeAnchor xmlns:cdr="http://schemas.openxmlformats.org/drawingml/2006/chartDrawing">
    <cdr:from>
      <cdr:x>0.29926</cdr:x>
      <cdr:y>0.49459</cdr:y>
    </cdr:from>
    <cdr:to>
      <cdr:x>0.44669</cdr:x>
      <cdr:y>0.537</cdr:y>
    </cdr:to>
    <cdr:sp macro="" textlink="">
      <cdr:nvSpPr>
        <cdr:cNvPr id="6" name="TextBox 20"/>
        <cdr:cNvSpPr txBox="1"/>
      </cdr:nvSpPr>
      <cdr:spPr>
        <a:xfrm xmlns:a="http://schemas.openxmlformats.org/drawingml/2006/main" rot="1035051">
          <a:off x="1434870" y="1517815"/>
          <a:ext cx="706871" cy="13017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5% best (hydro)</a:t>
          </a:r>
        </a:p>
      </cdr:txBody>
    </cdr:sp>
  </cdr:relSizeAnchor>
  <cdr:relSizeAnchor xmlns:cdr="http://schemas.openxmlformats.org/drawingml/2006/chartDrawing">
    <cdr:from>
      <cdr:x>0.40842</cdr:x>
      <cdr:y>0.35203</cdr:y>
    </cdr:from>
    <cdr:to>
      <cdr:x>0.45875</cdr:x>
      <cdr:y>0.39432</cdr:y>
    </cdr:to>
    <cdr:sp macro="" textlink="">
      <cdr:nvSpPr>
        <cdr:cNvPr id="7" name="TextBox 20"/>
        <cdr:cNvSpPr txBox="1"/>
      </cdr:nvSpPr>
      <cdr:spPr>
        <a:xfrm xmlns:a="http://schemas.openxmlformats.org/drawingml/2006/main">
          <a:off x="1988519" y="1080335"/>
          <a:ext cx="245020" cy="12979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Avg.</a:t>
          </a:r>
        </a:p>
      </cdr:txBody>
    </cdr:sp>
  </cdr:relSizeAnchor>
  <cdr:relSizeAnchor xmlns:cdr="http://schemas.openxmlformats.org/drawingml/2006/chartDrawing">
    <cdr:from>
      <cdr:x>0.46662</cdr:x>
      <cdr:y>0.33967</cdr:y>
    </cdr:from>
    <cdr:to>
      <cdr:x>0.63437</cdr:x>
      <cdr:y>0.3757</cdr:y>
    </cdr:to>
    <cdr:sp macro="" textlink="">
      <cdr:nvSpPr>
        <cdr:cNvPr id="8" name="TextBox 20"/>
        <cdr:cNvSpPr txBox="1"/>
      </cdr:nvSpPr>
      <cdr:spPr>
        <a:xfrm xmlns:a="http://schemas.openxmlformats.org/drawingml/2006/main" rot="164215">
          <a:off x="2271854" y="1042399"/>
          <a:ext cx="816759" cy="11058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95% worst</a:t>
          </a:r>
          <a:r>
            <a:rPr lang="en-US" sz="800" baseline="0"/>
            <a:t> (</a:t>
          </a:r>
          <a:r>
            <a:rPr lang="en-US" sz="800"/>
            <a:t>urban)</a:t>
          </a:r>
        </a:p>
      </cdr:txBody>
    </cdr:sp>
  </cdr:relSizeAnchor>
  <cdr:relSizeAnchor xmlns:cdr="http://schemas.openxmlformats.org/drawingml/2006/chartDrawing">
    <cdr:from>
      <cdr:x>0.4782</cdr:x>
      <cdr:y>0.49096</cdr:y>
    </cdr:from>
    <cdr:to>
      <cdr:x>0.61914</cdr:x>
      <cdr:y>0.52901</cdr:y>
    </cdr:to>
    <cdr:sp macro="" textlink="">
      <cdr:nvSpPr>
        <cdr:cNvPr id="9" name="TextBox 20"/>
        <cdr:cNvSpPr txBox="1"/>
      </cdr:nvSpPr>
      <cdr:spPr>
        <a:xfrm xmlns:a="http://schemas.openxmlformats.org/drawingml/2006/main" rot="20544543">
          <a:off x="2292805" y="1506701"/>
          <a:ext cx="675779" cy="11677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5% best (rural)</a:t>
          </a:r>
        </a:p>
      </cdr:txBody>
    </cdr:sp>
  </cdr:relSizeAnchor>
  <cdr:relSizeAnchor xmlns:cdr="http://schemas.openxmlformats.org/drawingml/2006/chartDrawing">
    <cdr:from>
      <cdr:x>0.46684</cdr:x>
      <cdr:y>0.39843</cdr:y>
    </cdr:from>
    <cdr:to>
      <cdr:x>0.51961</cdr:x>
      <cdr:y>0.44605</cdr:y>
    </cdr:to>
    <cdr:sp macro="" textlink="">
      <cdr:nvSpPr>
        <cdr:cNvPr id="10" name="TextBox 20"/>
        <cdr:cNvSpPr txBox="1"/>
      </cdr:nvSpPr>
      <cdr:spPr>
        <a:xfrm xmlns:a="http://schemas.openxmlformats.org/drawingml/2006/main">
          <a:off x="2272958" y="1222724"/>
          <a:ext cx="256913" cy="14615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Avg.</a:t>
          </a:r>
        </a:p>
      </cdr:txBody>
    </cdr:sp>
  </cdr:relSizeAnchor>
  <cdr:relSizeAnchor xmlns:cdr="http://schemas.openxmlformats.org/drawingml/2006/chartDrawing">
    <cdr:from>
      <cdr:x>0.73912</cdr:x>
      <cdr:y>0.30771</cdr:y>
    </cdr:from>
    <cdr:to>
      <cdr:x>0.76084</cdr:x>
      <cdr:y>0.38858</cdr:y>
    </cdr:to>
    <cdr:sp macro="" textlink="">
      <cdr:nvSpPr>
        <cdr:cNvPr id="11" name="TextBox 20"/>
        <cdr:cNvSpPr txBox="1"/>
      </cdr:nvSpPr>
      <cdr:spPr>
        <a:xfrm xmlns:a="http://schemas.openxmlformats.org/drawingml/2006/main" rot="17515515">
          <a:off x="3527394" y="1015533"/>
          <a:ext cx="248179" cy="1057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6 yrs.</a:t>
          </a:r>
        </a:p>
      </cdr:txBody>
    </cdr:sp>
  </cdr:relSizeAnchor>
  <cdr:relSizeAnchor xmlns:cdr="http://schemas.openxmlformats.org/drawingml/2006/chartDrawing">
    <cdr:from>
      <cdr:x>0.75702</cdr:x>
      <cdr:y>0.38842</cdr:y>
    </cdr:from>
    <cdr:to>
      <cdr:x>0.77888</cdr:x>
      <cdr:y>0.48261</cdr:y>
    </cdr:to>
    <cdr:sp macro="" textlink="">
      <cdr:nvSpPr>
        <cdr:cNvPr id="12" name="TextBox 20"/>
        <cdr:cNvSpPr txBox="1"/>
      </cdr:nvSpPr>
      <cdr:spPr>
        <a:xfrm xmlns:a="http://schemas.openxmlformats.org/drawingml/2006/main" rot="18862298">
          <a:off x="3594467" y="1283334"/>
          <a:ext cx="289056" cy="10643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12 yrs.</a:t>
          </a:r>
        </a:p>
      </cdr:txBody>
    </cdr:sp>
  </cdr:relSizeAnchor>
</c:userShapes>
</file>

<file path=xl/drawings/drawing3.xml><?xml version="1.0" encoding="utf-8"?>
<c:userShapes xmlns:c="http://schemas.openxmlformats.org/drawingml/2006/chart">
  <cdr:relSizeAnchor xmlns:cdr="http://schemas.openxmlformats.org/drawingml/2006/chartDrawing">
    <cdr:from>
      <cdr:x>0.12575</cdr:x>
      <cdr:y>0.20113</cdr:y>
    </cdr:from>
    <cdr:to>
      <cdr:x>0.1333</cdr:x>
      <cdr:y>0.44153</cdr:y>
    </cdr:to>
    <cdr:sp macro="" textlink="">
      <cdr:nvSpPr>
        <cdr:cNvPr id="2" name="TextBox 20"/>
        <cdr:cNvSpPr txBox="1"/>
      </cdr:nvSpPr>
      <cdr:spPr>
        <a:xfrm xmlns:a="http://schemas.openxmlformats.org/drawingml/2006/main" rot="17874436">
          <a:off x="1690829" y="936045"/>
          <a:ext cx="745279" cy="12027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95% worst (coal)</a:t>
          </a:r>
        </a:p>
      </cdr:txBody>
    </cdr:sp>
  </cdr:relSizeAnchor>
  <cdr:relSizeAnchor xmlns:cdr="http://schemas.openxmlformats.org/drawingml/2006/chartDrawing">
    <cdr:from>
      <cdr:x>0.10381</cdr:x>
      <cdr:y>0.47701</cdr:y>
    </cdr:from>
    <cdr:to>
      <cdr:x>0.14671</cdr:x>
      <cdr:y>0.5206</cdr:y>
    </cdr:to>
    <cdr:sp macro="" textlink="">
      <cdr:nvSpPr>
        <cdr:cNvPr id="3" name="TextBox 20"/>
        <cdr:cNvSpPr txBox="1"/>
      </cdr:nvSpPr>
      <cdr:spPr>
        <a:xfrm xmlns:a="http://schemas.openxmlformats.org/drawingml/2006/main" rot="1338551">
          <a:off x="1653784" y="1478805"/>
          <a:ext cx="683443" cy="13514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5% best (hydro)</a:t>
          </a:r>
        </a:p>
      </cdr:txBody>
    </cdr:sp>
  </cdr:relSizeAnchor>
  <cdr:relSizeAnchor xmlns:cdr="http://schemas.openxmlformats.org/drawingml/2006/chartDrawing">
    <cdr:from>
      <cdr:x>0.16799</cdr:x>
      <cdr:y>0.37109</cdr:y>
    </cdr:from>
    <cdr:to>
      <cdr:x>0.20305</cdr:x>
      <cdr:y>0.41971</cdr:y>
    </cdr:to>
    <cdr:sp macro="" textlink="">
      <cdr:nvSpPr>
        <cdr:cNvPr id="5" name="TextBox 20"/>
        <cdr:cNvSpPr txBox="1"/>
      </cdr:nvSpPr>
      <cdr:spPr>
        <a:xfrm xmlns:a="http://schemas.openxmlformats.org/drawingml/2006/main" rot="20017135">
          <a:off x="2676123" y="1150451"/>
          <a:ext cx="558649" cy="15070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95% worst</a:t>
          </a:r>
        </a:p>
      </cdr:txBody>
    </cdr:sp>
  </cdr:relSizeAnchor>
  <cdr:relSizeAnchor xmlns:cdr="http://schemas.openxmlformats.org/drawingml/2006/chartDrawing">
    <cdr:from>
      <cdr:x>0.17374</cdr:x>
      <cdr:y>0.43727</cdr:y>
    </cdr:from>
    <cdr:to>
      <cdr:x>0.20201</cdr:x>
      <cdr:y>0.4914</cdr:y>
    </cdr:to>
    <cdr:sp macro="" textlink="">
      <cdr:nvSpPr>
        <cdr:cNvPr id="6" name="TextBox 20"/>
        <cdr:cNvSpPr txBox="1"/>
      </cdr:nvSpPr>
      <cdr:spPr>
        <a:xfrm xmlns:a="http://schemas.openxmlformats.org/drawingml/2006/main" rot="19736543">
          <a:off x="2767773" y="1355606"/>
          <a:ext cx="450298" cy="16780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5% best</a:t>
          </a:r>
        </a:p>
      </cdr:txBody>
    </cdr:sp>
  </cdr:relSizeAnchor>
  <cdr:relSizeAnchor xmlns:cdr="http://schemas.openxmlformats.org/drawingml/2006/chartDrawing">
    <cdr:from>
      <cdr:x>0.21371</cdr:x>
      <cdr:y>0.35601</cdr:y>
    </cdr:from>
    <cdr:to>
      <cdr:x>0.25285</cdr:x>
      <cdr:y>0.39839</cdr:y>
    </cdr:to>
    <cdr:sp macro="" textlink="">
      <cdr:nvSpPr>
        <cdr:cNvPr id="7" name="TextBox 20"/>
        <cdr:cNvSpPr txBox="1"/>
      </cdr:nvSpPr>
      <cdr:spPr>
        <a:xfrm xmlns:a="http://schemas.openxmlformats.org/drawingml/2006/main" rot="627555">
          <a:off x="3404442" y="1103676"/>
          <a:ext cx="623522" cy="13138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95% worst</a:t>
          </a:r>
        </a:p>
      </cdr:txBody>
    </cdr:sp>
  </cdr:relSizeAnchor>
  <cdr:relSizeAnchor xmlns:cdr="http://schemas.openxmlformats.org/drawingml/2006/chartDrawing">
    <cdr:from>
      <cdr:x>0.21359</cdr:x>
      <cdr:y>0.46291</cdr:y>
    </cdr:from>
    <cdr:to>
      <cdr:x>0.24484</cdr:x>
      <cdr:y>0.50398</cdr:y>
    </cdr:to>
    <cdr:sp macro="" textlink="">
      <cdr:nvSpPr>
        <cdr:cNvPr id="8" name="TextBox 20"/>
        <cdr:cNvSpPr txBox="1"/>
      </cdr:nvSpPr>
      <cdr:spPr>
        <a:xfrm xmlns:a="http://schemas.openxmlformats.org/drawingml/2006/main" rot="21027949">
          <a:off x="3402554" y="1435104"/>
          <a:ext cx="497830" cy="12732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5% best</a:t>
          </a:r>
        </a:p>
      </cdr:txBody>
    </cdr:sp>
  </cdr:relSizeAnchor>
  <cdr:relSizeAnchor xmlns:cdr="http://schemas.openxmlformats.org/drawingml/2006/chartDrawing">
    <cdr:from>
      <cdr:x>0.26208</cdr:x>
      <cdr:y>0.37924</cdr:y>
    </cdr:from>
    <cdr:to>
      <cdr:x>0.30122</cdr:x>
      <cdr:y>0.42162</cdr:y>
    </cdr:to>
    <cdr:sp macro="" textlink="">
      <cdr:nvSpPr>
        <cdr:cNvPr id="9" name="TextBox 20"/>
        <cdr:cNvSpPr txBox="1"/>
      </cdr:nvSpPr>
      <cdr:spPr>
        <a:xfrm xmlns:a="http://schemas.openxmlformats.org/drawingml/2006/main" rot="668713">
          <a:off x="4175027" y="1175701"/>
          <a:ext cx="623522" cy="13138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95% worst</a:t>
          </a:r>
        </a:p>
      </cdr:txBody>
    </cdr:sp>
  </cdr:relSizeAnchor>
  <cdr:relSizeAnchor xmlns:cdr="http://schemas.openxmlformats.org/drawingml/2006/chartDrawing">
    <cdr:from>
      <cdr:x>0.26038</cdr:x>
      <cdr:y>0.46627</cdr:y>
    </cdr:from>
    <cdr:to>
      <cdr:x>0.29623</cdr:x>
      <cdr:y>0.50818</cdr:y>
    </cdr:to>
    <cdr:sp macro="" textlink="">
      <cdr:nvSpPr>
        <cdr:cNvPr id="10" name="TextBox 20"/>
        <cdr:cNvSpPr txBox="1"/>
      </cdr:nvSpPr>
      <cdr:spPr>
        <a:xfrm xmlns:a="http://schemas.openxmlformats.org/drawingml/2006/main" rot="748821">
          <a:off x="4147939" y="1445524"/>
          <a:ext cx="571111" cy="12992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5% best</a:t>
          </a:r>
        </a:p>
      </cdr:txBody>
    </cdr:sp>
  </cdr:relSizeAnchor>
  <cdr:relSizeAnchor xmlns:cdr="http://schemas.openxmlformats.org/drawingml/2006/chartDrawing">
    <cdr:from>
      <cdr:x>0.37016</cdr:x>
      <cdr:y>0.37605</cdr:y>
    </cdr:from>
    <cdr:to>
      <cdr:x>0.40107</cdr:x>
      <cdr:y>0.415</cdr:y>
    </cdr:to>
    <cdr:sp macro="" textlink="">
      <cdr:nvSpPr>
        <cdr:cNvPr id="11" name="TextBox 20"/>
        <cdr:cNvSpPr txBox="1"/>
      </cdr:nvSpPr>
      <cdr:spPr>
        <a:xfrm xmlns:a="http://schemas.openxmlformats.org/drawingml/2006/main" rot="19582741">
          <a:off x="5896802" y="1165820"/>
          <a:ext cx="492438" cy="12073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95% worst</a:t>
          </a:r>
        </a:p>
      </cdr:txBody>
    </cdr:sp>
  </cdr:relSizeAnchor>
  <cdr:relSizeAnchor xmlns:cdr="http://schemas.openxmlformats.org/drawingml/2006/chartDrawing">
    <cdr:from>
      <cdr:x>0.37728</cdr:x>
      <cdr:y>0.4423</cdr:y>
    </cdr:from>
    <cdr:to>
      <cdr:x>0.40385</cdr:x>
      <cdr:y>0.47916</cdr:y>
    </cdr:to>
    <cdr:sp macro="" textlink="">
      <cdr:nvSpPr>
        <cdr:cNvPr id="12" name="TextBox 20"/>
        <cdr:cNvSpPr txBox="1"/>
      </cdr:nvSpPr>
      <cdr:spPr>
        <a:xfrm xmlns:a="http://schemas.openxmlformats.org/drawingml/2006/main" rot="19563981">
          <a:off x="6010303" y="1371189"/>
          <a:ext cx="423213" cy="11428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5% best</a:t>
          </a:r>
        </a:p>
      </cdr:txBody>
    </cdr:sp>
  </cdr:relSizeAnchor>
  <cdr:relSizeAnchor xmlns:cdr="http://schemas.openxmlformats.org/drawingml/2006/chartDrawing">
    <cdr:from>
      <cdr:x>0.42151</cdr:x>
      <cdr:y>0.3587</cdr:y>
    </cdr:from>
    <cdr:to>
      <cdr:x>0.45327</cdr:x>
      <cdr:y>0.40051</cdr:y>
    </cdr:to>
    <cdr:sp macro="" textlink="">
      <cdr:nvSpPr>
        <cdr:cNvPr id="13" name="TextBox 20"/>
        <cdr:cNvSpPr txBox="1"/>
      </cdr:nvSpPr>
      <cdr:spPr>
        <a:xfrm xmlns:a="http://schemas.openxmlformats.org/drawingml/2006/main" rot="19083902">
          <a:off x="6714823" y="1112019"/>
          <a:ext cx="505961" cy="12963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95% worst</a:t>
          </a:r>
        </a:p>
      </cdr:txBody>
    </cdr:sp>
  </cdr:relSizeAnchor>
  <cdr:relSizeAnchor xmlns:cdr="http://schemas.openxmlformats.org/drawingml/2006/chartDrawing">
    <cdr:from>
      <cdr:x>0.42626</cdr:x>
      <cdr:y>0.48968</cdr:y>
    </cdr:from>
    <cdr:to>
      <cdr:x>0.45158</cdr:x>
      <cdr:y>0.53334</cdr:y>
    </cdr:to>
    <cdr:sp macro="" textlink="">
      <cdr:nvSpPr>
        <cdr:cNvPr id="14" name="TextBox 20"/>
        <cdr:cNvSpPr txBox="1"/>
      </cdr:nvSpPr>
      <cdr:spPr>
        <a:xfrm xmlns:a="http://schemas.openxmlformats.org/drawingml/2006/main" rot="21168929">
          <a:off x="6790495" y="1518098"/>
          <a:ext cx="403404" cy="13534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5% best</a:t>
          </a:r>
        </a:p>
      </cdr:txBody>
    </cdr:sp>
  </cdr:relSizeAnchor>
  <cdr:relSizeAnchor xmlns:cdr="http://schemas.openxmlformats.org/drawingml/2006/chartDrawing">
    <cdr:from>
      <cdr:x>0.48383</cdr:x>
      <cdr:y>0.34208</cdr:y>
    </cdr:from>
    <cdr:to>
      <cdr:x>0.49341</cdr:x>
      <cdr:y>0.42423</cdr:y>
    </cdr:to>
    <cdr:sp macro="" textlink="">
      <cdr:nvSpPr>
        <cdr:cNvPr id="17" name="TextBox 20"/>
        <cdr:cNvSpPr txBox="1"/>
      </cdr:nvSpPr>
      <cdr:spPr>
        <a:xfrm xmlns:a="http://schemas.openxmlformats.org/drawingml/2006/main" rot="18678182">
          <a:off x="7656716" y="1111528"/>
          <a:ext cx="254678" cy="1526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Coal</a:t>
          </a:r>
        </a:p>
      </cdr:txBody>
    </cdr:sp>
  </cdr:relSizeAnchor>
  <cdr:relSizeAnchor xmlns:cdr="http://schemas.openxmlformats.org/drawingml/2006/chartDrawing">
    <cdr:from>
      <cdr:x>0.4787</cdr:x>
      <cdr:y>0.47249</cdr:y>
    </cdr:from>
    <cdr:to>
      <cdr:x>0.49897</cdr:x>
      <cdr:y>0.5113</cdr:y>
    </cdr:to>
    <cdr:sp macro="" textlink="">
      <cdr:nvSpPr>
        <cdr:cNvPr id="18" name="TextBox 20"/>
        <cdr:cNvSpPr txBox="1"/>
      </cdr:nvSpPr>
      <cdr:spPr>
        <a:xfrm xmlns:a="http://schemas.openxmlformats.org/drawingml/2006/main" rot="21234335">
          <a:off x="7626037" y="1464794"/>
          <a:ext cx="322912" cy="12031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Hydro</a:t>
          </a:r>
        </a:p>
      </cdr:txBody>
    </cdr:sp>
  </cdr:relSizeAnchor>
  <cdr:relSizeAnchor xmlns:cdr="http://schemas.openxmlformats.org/drawingml/2006/chartDrawing">
    <cdr:from>
      <cdr:x>0.5247</cdr:x>
      <cdr:y>0.38229</cdr:y>
    </cdr:from>
    <cdr:to>
      <cdr:x>0.55505</cdr:x>
      <cdr:y>0.42584</cdr:y>
    </cdr:to>
    <cdr:sp macro="" textlink="">
      <cdr:nvSpPr>
        <cdr:cNvPr id="19" name="TextBox 20"/>
        <cdr:cNvSpPr txBox="1"/>
      </cdr:nvSpPr>
      <cdr:spPr>
        <a:xfrm xmlns:a="http://schemas.openxmlformats.org/drawingml/2006/main" rot="19655312">
          <a:off x="8358708" y="1185176"/>
          <a:ext cx="483624" cy="13498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ANL 2010</a:t>
          </a:r>
        </a:p>
      </cdr:txBody>
    </cdr:sp>
  </cdr:relSizeAnchor>
  <cdr:relSizeAnchor xmlns:cdr="http://schemas.openxmlformats.org/drawingml/2006/chartDrawing">
    <cdr:from>
      <cdr:x>0.52566</cdr:x>
      <cdr:y>0.46204</cdr:y>
    </cdr:from>
    <cdr:to>
      <cdr:x>0.55505</cdr:x>
      <cdr:y>0.50236</cdr:y>
    </cdr:to>
    <cdr:sp macro="" textlink="">
      <cdr:nvSpPr>
        <cdr:cNvPr id="20" name="TextBox 20"/>
        <cdr:cNvSpPr txBox="1"/>
      </cdr:nvSpPr>
      <cdr:spPr>
        <a:xfrm xmlns:a="http://schemas.openxmlformats.org/drawingml/2006/main" rot="20126555">
          <a:off x="8374043" y="1432393"/>
          <a:ext cx="468289" cy="12500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ANL 2020</a:t>
          </a:r>
        </a:p>
      </cdr:txBody>
    </cdr:sp>
  </cdr:relSizeAnchor>
  <cdr:relSizeAnchor xmlns:cdr="http://schemas.openxmlformats.org/drawingml/2006/chartDrawing">
    <cdr:from>
      <cdr:x>0.58577</cdr:x>
      <cdr:y>0.32877</cdr:y>
    </cdr:from>
    <cdr:to>
      <cdr:x>0.59534</cdr:x>
      <cdr:y>0.41092</cdr:y>
    </cdr:to>
    <cdr:sp macro="" textlink="">
      <cdr:nvSpPr>
        <cdr:cNvPr id="21" name="TextBox 20"/>
        <cdr:cNvSpPr txBox="1"/>
      </cdr:nvSpPr>
      <cdr:spPr>
        <a:xfrm xmlns:a="http://schemas.openxmlformats.org/drawingml/2006/main" rot="17917534">
          <a:off x="9280522" y="1070359"/>
          <a:ext cx="254679" cy="15245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t>6</a:t>
          </a:r>
          <a:r>
            <a:rPr lang="en-US" sz="800" baseline="0"/>
            <a:t> yrs.</a:t>
          </a:r>
          <a:endParaRPr lang="en-US" sz="800"/>
        </a:p>
      </cdr:txBody>
    </cdr:sp>
  </cdr:relSizeAnchor>
  <cdr:relSizeAnchor xmlns:cdr="http://schemas.openxmlformats.org/drawingml/2006/chartDrawing">
    <cdr:from>
      <cdr:x>0.58268</cdr:x>
      <cdr:y>0.43369</cdr:y>
    </cdr:from>
    <cdr:to>
      <cdr:x>0.60399</cdr:x>
      <cdr:y>0.47396</cdr:y>
    </cdr:to>
    <cdr:sp macro="" textlink="">
      <cdr:nvSpPr>
        <cdr:cNvPr id="22" name="TextBox 1"/>
        <cdr:cNvSpPr txBox="1"/>
      </cdr:nvSpPr>
      <cdr:spPr>
        <a:xfrm xmlns:a="http://schemas.openxmlformats.org/drawingml/2006/main" rot="19594678">
          <a:off x="9282441" y="1344495"/>
          <a:ext cx="339423" cy="12485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baseline="0"/>
            <a:t>12 yrs.</a:t>
          </a:r>
          <a:endParaRPr lang="en-US" sz="800"/>
        </a:p>
      </cdr:txBody>
    </cdr:sp>
  </cdr:relSizeAnchor>
  <cdr:relSizeAnchor xmlns:cdr="http://schemas.openxmlformats.org/drawingml/2006/chartDrawing">
    <cdr:from>
      <cdr:x>0.61574</cdr:x>
      <cdr:y>0.29951</cdr:y>
    </cdr:from>
    <cdr:to>
      <cdr:x>0.65488</cdr:x>
      <cdr:y>0.37949</cdr:y>
    </cdr:to>
    <cdr:sp macro="" textlink="">
      <cdr:nvSpPr>
        <cdr:cNvPr id="23" name="TextBox 20"/>
        <cdr:cNvSpPr txBox="1"/>
      </cdr:nvSpPr>
      <cdr:spPr>
        <a:xfrm xmlns:a="http://schemas.openxmlformats.org/drawingml/2006/main" rot="627555">
          <a:off x="9809088" y="928544"/>
          <a:ext cx="623522" cy="24795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95% worst (urban)</a:t>
          </a:r>
        </a:p>
      </cdr:txBody>
    </cdr:sp>
  </cdr:relSizeAnchor>
  <cdr:relSizeAnchor xmlns:cdr="http://schemas.openxmlformats.org/drawingml/2006/chartDrawing">
    <cdr:from>
      <cdr:x>0.60588</cdr:x>
      <cdr:y>0.47509</cdr:y>
    </cdr:from>
    <cdr:to>
      <cdr:x>0.65636</cdr:x>
      <cdr:y>0.51835</cdr:y>
    </cdr:to>
    <cdr:sp macro="" textlink="">
      <cdr:nvSpPr>
        <cdr:cNvPr id="24" name="TextBox 20"/>
        <cdr:cNvSpPr txBox="1"/>
      </cdr:nvSpPr>
      <cdr:spPr>
        <a:xfrm xmlns:a="http://schemas.openxmlformats.org/drawingml/2006/main" rot="20967202">
          <a:off x="9651955" y="1472847"/>
          <a:ext cx="804187" cy="13412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5% best( rural)</a:t>
          </a:r>
        </a:p>
      </cdr:txBody>
    </cdr:sp>
  </cdr:relSizeAnchor>
  <cdr:relSizeAnchor xmlns:cdr="http://schemas.openxmlformats.org/drawingml/2006/chartDrawing">
    <cdr:from>
      <cdr:x>0.65775</cdr:x>
      <cdr:y>0.51251</cdr:y>
    </cdr:from>
    <cdr:to>
      <cdr:x>0.70626</cdr:x>
      <cdr:y>0.55066</cdr:y>
    </cdr:to>
    <cdr:sp macro="" textlink="">
      <cdr:nvSpPr>
        <cdr:cNvPr id="25" name="TextBox 20"/>
        <cdr:cNvSpPr txBox="1"/>
      </cdr:nvSpPr>
      <cdr:spPr>
        <a:xfrm xmlns:a="http://schemas.openxmlformats.org/drawingml/2006/main" rot="20967202">
          <a:off x="10478383" y="1588878"/>
          <a:ext cx="772695" cy="11826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Low ($14/Mg)</a:t>
          </a:r>
        </a:p>
      </cdr:txBody>
    </cdr:sp>
  </cdr:relSizeAnchor>
  <cdr:relSizeAnchor xmlns:cdr="http://schemas.openxmlformats.org/drawingml/2006/chartDrawing">
    <cdr:from>
      <cdr:x>0.6699</cdr:x>
      <cdr:y>0.1669</cdr:y>
    </cdr:from>
    <cdr:to>
      <cdr:x>0.71595</cdr:x>
      <cdr:y>0.21674</cdr:y>
    </cdr:to>
    <cdr:sp macro="" textlink="">
      <cdr:nvSpPr>
        <cdr:cNvPr id="28" name="TextBox 20"/>
        <cdr:cNvSpPr txBox="1"/>
      </cdr:nvSpPr>
      <cdr:spPr>
        <a:xfrm xmlns:a="http://schemas.openxmlformats.org/drawingml/2006/main" rot="18930587">
          <a:off x="10671914" y="517416"/>
          <a:ext cx="733591" cy="15452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High ($140/Mg)</a:t>
          </a:r>
        </a:p>
      </cdr:txBody>
    </cdr:sp>
  </cdr:relSizeAnchor>
  <cdr:relSizeAnchor xmlns:cdr="http://schemas.openxmlformats.org/drawingml/2006/chartDrawing">
    <cdr:from>
      <cdr:x>0.86734</cdr:x>
      <cdr:y>0.5204</cdr:y>
    </cdr:from>
    <cdr:to>
      <cdr:x>0.90954</cdr:x>
      <cdr:y>0.5612</cdr:y>
    </cdr:to>
    <cdr:sp macro="" textlink="">
      <cdr:nvSpPr>
        <cdr:cNvPr id="29" name="TextBox 20"/>
        <cdr:cNvSpPr txBox="1"/>
      </cdr:nvSpPr>
      <cdr:spPr>
        <a:xfrm xmlns:a="http://schemas.openxmlformats.org/drawingml/2006/main" rot="21105008">
          <a:off x="13817227" y="1613320"/>
          <a:ext cx="672245" cy="12649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High (20%)</a:t>
          </a:r>
        </a:p>
      </cdr:txBody>
    </cdr:sp>
  </cdr:relSizeAnchor>
  <cdr:relSizeAnchor xmlns:cdr="http://schemas.openxmlformats.org/drawingml/2006/chartDrawing">
    <cdr:from>
      <cdr:x>0.86953</cdr:x>
      <cdr:y>0.28995</cdr:y>
    </cdr:from>
    <cdr:to>
      <cdr:x>0.8997</cdr:x>
      <cdr:y>0.32973</cdr:y>
    </cdr:to>
    <cdr:sp macro="" textlink="">
      <cdr:nvSpPr>
        <cdr:cNvPr id="30" name="TextBox 20"/>
        <cdr:cNvSpPr txBox="1"/>
      </cdr:nvSpPr>
      <cdr:spPr>
        <a:xfrm xmlns:a="http://schemas.openxmlformats.org/drawingml/2006/main" rot="489083">
          <a:off x="13852066" y="898903"/>
          <a:ext cx="480625" cy="1233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Low (0%)</a:t>
          </a:r>
        </a:p>
      </cdr:txBody>
    </cdr:sp>
  </cdr:relSizeAnchor>
  <cdr:relSizeAnchor xmlns:cdr="http://schemas.openxmlformats.org/drawingml/2006/chartDrawing">
    <cdr:from>
      <cdr:x>0.30742</cdr:x>
      <cdr:y>0.4711</cdr:y>
    </cdr:from>
    <cdr:to>
      <cdr:x>0.34327</cdr:x>
      <cdr:y>0.51301</cdr:y>
    </cdr:to>
    <cdr:sp macro="" textlink="">
      <cdr:nvSpPr>
        <cdr:cNvPr id="31" name="TextBox 20"/>
        <cdr:cNvSpPr txBox="1"/>
      </cdr:nvSpPr>
      <cdr:spPr>
        <a:xfrm xmlns:a="http://schemas.openxmlformats.org/drawingml/2006/main" rot="748821">
          <a:off x="4897435" y="1460500"/>
          <a:ext cx="571111" cy="12992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0% oil</a:t>
          </a:r>
          <a:r>
            <a:rPr lang="en-US" sz="800" baseline="0"/>
            <a:t> sands</a:t>
          </a:r>
          <a:endParaRPr lang="en-US" sz="800"/>
        </a:p>
      </cdr:txBody>
    </cdr:sp>
  </cdr:relSizeAnchor>
  <cdr:relSizeAnchor xmlns:cdr="http://schemas.openxmlformats.org/drawingml/2006/chartDrawing">
    <cdr:from>
      <cdr:x>0.30621</cdr:x>
      <cdr:y>0.36128</cdr:y>
    </cdr:from>
    <cdr:to>
      <cdr:x>0.34731</cdr:x>
      <cdr:y>0.41056</cdr:y>
    </cdr:to>
    <cdr:sp macro="" textlink="">
      <cdr:nvSpPr>
        <cdr:cNvPr id="32" name="TextBox 20"/>
        <cdr:cNvSpPr txBox="1"/>
      </cdr:nvSpPr>
      <cdr:spPr>
        <a:xfrm xmlns:a="http://schemas.openxmlformats.org/drawingml/2006/main" rot="748821">
          <a:off x="4878106" y="1120020"/>
          <a:ext cx="654762" cy="15277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100% oil</a:t>
          </a:r>
          <a:r>
            <a:rPr lang="en-US" sz="800" baseline="0"/>
            <a:t> sands</a:t>
          </a:r>
          <a:endParaRPr lang="en-US" sz="800"/>
        </a:p>
      </cdr:txBody>
    </cdr:sp>
  </cdr:relSizeAnchor>
  <cdr:relSizeAnchor xmlns:cdr="http://schemas.openxmlformats.org/drawingml/2006/chartDrawing">
    <cdr:from>
      <cdr:x>0.70752</cdr:x>
      <cdr:y>0.47111</cdr:y>
    </cdr:from>
    <cdr:to>
      <cdr:x>0.75603</cdr:x>
      <cdr:y>0.50925</cdr:y>
    </cdr:to>
    <cdr:sp macro="" textlink="">
      <cdr:nvSpPr>
        <cdr:cNvPr id="33" name="TextBox 20"/>
        <cdr:cNvSpPr txBox="1"/>
      </cdr:nvSpPr>
      <cdr:spPr>
        <a:xfrm xmlns:a="http://schemas.openxmlformats.org/drawingml/2006/main" rot="344205">
          <a:off x="11271252" y="1460502"/>
          <a:ext cx="772695" cy="11826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Low ($0/gal)</a:t>
          </a:r>
        </a:p>
      </cdr:txBody>
    </cdr:sp>
  </cdr:relSizeAnchor>
  <cdr:relSizeAnchor xmlns:cdr="http://schemas.openxmlformats.org/drawingml/2006/chartDrawing">
    <cdr:from>
      <cdr:x>0.70952</cdr:x>
      <cdr:y>0.34821</cdr:y>
    </cdr:from>
    <cdr:to>
      <cdr:x>0.75802</cdr:x>
      <cdr:y>0.38635</cdr:y>
    </cdr:to>
    <cdr:sp macro="" textlink="">
      <cdr:nvSpPr>
        <cdr:cNvPr id="34" name="TextBox 20"/>
        <cdr:cNvSpPr txBox="1"/>
      </cdr:nvSpPr>
      <cdr:spPr>
        <a:xfrm xmlns:a="http://schemas.openxmlformats.org/drawingml/2006/main" rot="925369">
          <a:off x="11303000" y="1079499"/>
          <a:ext cx="772695" cy="11826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High ($0.28/gal)</a:t>
          </a:r>
        </a:p>
      </cdr:txBody>
    </cdr:sp>
  </cdr:relSizeAnchor>
  <cdr:relSizeAnchor xmlns:cdr="http://schemas.openxmlformats.org/drawingml/2006/chartDrawing">
    <cdr:from>
      <cdr:x>0.75984</cdr:x>
      <cdr:y>0.34309</cdr:y>
    </cdr:from>
    <cdr:to>
      <cdr:x>0.80834</cdr:x>
      <cdr:y>0.38123</cdr:y>
    </cdr:to>
    <cdr:sp macro="" textlink="">
      <cdr:nvSpPr>
        <cdr:cNvPr id="35" name="TextBox 20"/>
        <cdr:cNvSpPr txBox="1"/>
      </cdr:nvSpPr>
      <cdr:spPr>
        <a:xfrm xmlns:a="http://schemas.openxmlformats.org/drawingml/2006/main" rot="925369">
          <a:off x="12104689" y="1063625"/>
          <a:ext cx="772695" cy="11826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High ($0.45/gal)</a:t>
          </a:r>
        </a:p>
      </cdr:txBody>
    </cdr:sp>
  </cdr:relSizeAnchor>
  <cdr:relSizeAnchor xmlns:cdr="http://schemas.openxmlformats.org/drawingml/2006/chartDrawing">
    <cdr:from>
      <cdr:x>0.75884</cdr:x>
      <cdr:y>0.47622</cdr:y>
    </cdr:from>
    <cdr:to>
      <cdr:x>0.80735</cdr:x>
      <cdr:y>0.51437</cdr:y>
    </cdr:to>
    <cdr:sp macro="" textlink="">
      <cdr:nvSpPr>
        <cdr:cNvPr id="36" name="TextBox 20"/>
        <cdr:cNvSpPr txBox="1"/>
      </cdr:nvSpPr>
      <cdr:spPr>
        <a:xfrm xmlns:a="http://schemas.openxmlformats.org/drawingml/2006/main" rot="344205">
          <a:off x="12088812" y="1476374"/>
          <a:ext cx="772695" cy="11826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Low ($0.07/gal)</a:t>
          </a:r>
        </a:p>
      </cdr:txBody>
    </cdr:sp>
  </cdr:relSizeAnchor>
  <cdr:relSizeAnchor xmlns:cdr="http://schemas.openxmlformats.org/drawingml/2006/chartDrawing">
    <cdr:from>
      <cdr:x>0.81066</cdr:x>
      <cdr:y>0.35589</cdr:y>
    </cdr:from>
    <cdr:to>
      <cdr:x>0.85917</cdr:x>
      <cdr:y>0.39404</cdr:y>
    </cdr:to>
    <cdr:sp macro="" textlink="">
      <cdr:nvSpPr>
        <cdr:cNvPr id="37" name="TextBox 20"/>
        <cdr:cNvSpPr txBox="1"/>
      </cdr:nvSpPr>
      <cdr:spPr>
        <a:xfrm xmlns:a="http://schemas.openxmlformats.org/drawingml/2006/main" rot="925369">
          <a:off x="12914313" y="1103312"/>
          <a:ext cx="772695" cy="11826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High ($0.16/gal)</a:t>
          </a:r>
        </a:p>
      </cdr:txBody>
    </cdr:sp>
  </cdr:relSizeAnchor>
  <cdr:relSizeAnchor xmlns:cdr="http://schemas.openxmlformats.org/drawingml/2006/chartDrawing">
    <cdr:from>
      <cdr:x>0.80917</cdr:x>
      <cdr:y>0.46854</cdr:y>
    </cdr:from>
    <cdr:to>
      <cdr:x>0.85767</cdr:x>
      <cdr:y>0.50669</cdr:y>
    </cdr:to>
    <cdr:sp macro="" textlink="">
      <cdr:nvSpPr>
        <cdr:cNvPr id="38" name="TextBox 20"/>
        <cdr:cNvSpPr txBox="1"/>
      </cdr:nvSpPr>
      <cdr:spPr>
        <a:xfrm xmlns:a="http://schemas.openxmlformats.org/drawingml/2006/main" rot="344205">
          <a:off x="12890500" y="1452562"/>
          <a:ext cx="772695" cy="11826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Low ($0/gal)</a:t>
          </a:r>
        </a:p>
      </cdr:txBody>
    </cdr:sp>
  </cdr:relSizeAnchor>
  <cdr:relSizeAnchor xmlns:cdr="http://schemas.openxmlformats.org/drawingml/2006/chartDrawing">
    <cdr:from>
      <cdr:x>0.91025</cdr:x>
      <cdr:y>0.12684</cdr:y>
    </cdr:from>
    <cdr:to>
      <cdr:x>0.97185</cdr:x>
      <cdr:y>0.12684</cdr:y>
    </cdr:to>
    <cdr:sp macro="" textlink="">
      <cdr:nvSpPr>
        <cdr:cNvPr id="40" name="Straight Connector 39"/>
        <cdr:cNvSpPr/>
      </cdr:nvSpPr>
      <cdr:spPr>
        <a:xfrm xmlns:a="http://schemas.openxmlformats.org/drawingml/2006/main">
          <a:off x="14544145" y="391884"/>
          <a:ext cx="984250" cy="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0.91091</cdr:x>
      <cdr:y>0.26386</cdr:y>
    </cdr:from>
    <cdr:to>
      <cdr:x>0.97251</cdr:x>
      <cdr:y>0.26386</cdr:y>
    </cdr:to>
    <cdr:sp macro="" textlink="">
      <cdr:nvSpPr>
        <cdr:cNvPr id="41" name="Straight Connector 40"/>
        <cdr:cNvSpPr/>
      </cdr:nvSpPr>
      <cdr:spPr>
        <a:xfrm xmlns:a="http://schemas.openxmlformats.org/drawingml/2006/main">
          <a:off x="14554729" y="815217"/>
          <a:ext cx="984250" cy="0"/>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75000"/>
            </a:sys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0.91157</cdr:x>
      <cdr:y>0.58928</cdr:y>
    </cdr:from>
    <cdr:to>
      <cdr:x>0.97317</cdr:x>
      <cdr:y>0.58928</cdr:y>
    </cdr:to>
    <cdr:sp macro="" textlink="">
      <cdr:nvSpPr>
        <cdr:cNvPr id="42" name="Straight Connector 41"/>
        <cdr:cNvSpPr/>
      </cdr:nvSpPr>
      <cdr:spPr>
        <a:xfrm xmlns:a="http://schemas.openxmlformats.org/drawingml/2006/main">
          <a:off x="14565311" y="1820634"/>
          <a:ext cx="984250" cy="0"/>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75000"/>
            </a:sys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0.91157</cdr:x>
      <cdr:y>0.72973</cdr:y>
    </cdr:from>
    <cdr:to>
      <cdr:x>0.97317</cdr:x>
      <cdr:y>0.72973</cdr:y>
    </cdr:to>
    <cdr:sp macro="" textlink="">
      <cdr:nvSpPr>
        <cdr:cNvPr id="43" name="Straight Connector 42"/>
        <cdr:cNvSpPr/>
      </cdr:nvSpPr>
      <cdr:spPr>
        <a:xfrm xmlns:a="http://schemas.openxmlformats.org/drawingml/2006/main">
          <a:off x="14565311" y="2254551"/>
          <a:ext cx="984250" cy="0"/>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75000"/>
            </a:sys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0.26365</cdr:x>
      <cdr:y>0.2703</cdr:y>
    </cdr:from>
    <cdr:to>
      <cdr:x>0.4456</cdr:x>
      <cdr:y>0.31554</cdr:y>
    </cdr:to>
    <cdr:sp macro="" textlink="">
      <cdr:nvSpPr>
        <cdr:cNvPr id="5" name="TextBox 20"/>
        <cdr:cNvSpPr txBox="1"/>
      </cdr:nvSpPr>
      <cdr:spPr>
        <a:xfrm xmlns:a="http://schemas.openxmlformats.org/drawingml/2006/main" rot="19192916">
          <a:off x="1295389" y="839691"/>
          <a:ext cx="893954" cy="14056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ANL 2015</a:t>
          </a:r>
          <a:r>
            <a:rPr lang="en-US" sz="800" baseline="0"/>
            <a:t> Lit Review</a:t>
          </a:r>
          <a:endParaRPr lang="en-US" sz="800"/>
        </a:p>
      </cdr:txBody>
    </cdr:sp>
  </cdr:relSizeAnchor>
  <cdr:relSizeAnchor xmlns:cdr="http://schemas.openxmlformats.org/drawingml/2006/chartDrawing">
    <cdr:from>
      <cdr:x>0.28573</cdr:x>
      <cdr:y>0.39706</cdr:y>
    </cdr:from>
    <cdr:to>
      <cdr:x>0.43892</cdr:x>
      <cdr:y>0.44113</cdr:y>
    </cdr:to>
    <cdr:sp macro="" textlink="">
      <cdr:nvSpPr>
        <cdr:cNvPr id="6" name="TextBox 20"/>
        <cdr:cNvSpPr txBox="1"/>
      </cdr:nvSpPr>
      <cdr:spPr>
        <a:xfrm xmlns:a="http://schemas.openxmlformats.org/drawingml/2006/main" rot="21277422">
          <a:off x="1403843" y="1233504"/>
          <a:ext cx="752652" cy="13689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DOE 2030 Targets</a:t>
          </a:r>
        </a:p>
      </cdr:txBody>
    </cdr:sp>
  </cdr:relSizeAnchor>
  <cdr:relSizeAnchor xmlns:cdr="http://schemas.openxmlformats.org/drawingml/2006/chartDrawing">
    <cdr:from>
      <cdr:x>0.45281</cdr:x>
      <cdr:y>0.32317</cdr:y>
    </cdr:from>
    <cdr:to>
      <cdr:x>0.54616</cdr:x>
      <cdr:y>0.3593</cdr:y>
    </cdr:to>
    <cdr:sp macro="" textlink="">
      <cdr:nvSpPr>
        <cdr:cNvPr id="8" name="TextBox 20"/>
        <cdr:cNvSpPr txBox="1"/>
      </cdr:nvSpPr>
      <cdr:spPr>
        <a:xfrm xmlns:a="http://schemas.openxmlformats.org/drawingml/2006/main" rot="514259">
          <a:off x="2224786" y="1003944"/>
          <a:ext cx="458608" cy="11223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$4.05/gal.</a:t>
          </a:r>
        </a:p>
      </cdr:txBody>
    </cdr:sp>
  </cdr:relSizeAnchor>
  <cdr:relSizeAnchor xmlns:cdr="http://schemas.openxmlformats.org/drawingml/2006/chartDrawing">
    <cdr:from>
      <cdr:x>0.45989</cdr:x>
      <cdr:y>0.41351</cdr:y>
    </cdr:from>
    <cdr:to>
      <cdr:x>0.55647</cdr:x>
      <cdr:y>0.45218</cdr:y>
    </cdr:to>
    <cdr:sp macro="" textlink="">
      <cdr:nvSpPr>
        <cdr:cNvPr id="9" name="TextBox 20"/>
        <cdr:cNvSpPr txBox="1"/>
      </cdr:nvSpPr>
      <cdr:spPr>
        <a:xfrm xmlns:a="http://schemas.openxmlformats.org/drawingml/2006/main" rot="21069389">
          <a:off x="2259537" y="1284589"/>
          <a:ext cx="474525" cy="12014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$1.59/gal.</a:t>
          </a:r>
        </a:p>
      </cdr:txBody>
    </cdr:sp>
  </cdr:relSizeAnchor>
  <cdr:relSizeAnchor xmlns:cdr="http://schemas.openxmlformats.org/drawingml/2006/chartDrawing">
    <cdr:from>
      <cdr:x>0.45263</cdr:x>
      <cdr:y>0.35871</cdr:y>
    </cdr:from>
    <cdr:to>
      <cdr:x>0.5054</cdr:x>
      <cdr:y>0.40633</cdr:y>
    </cdr:to>
    <cdr:sp macro="" textlink="">
      <cdr:nvSpPr>
        <cdr:cNvPr id="10" name="TextBox 20"/>
        <cdr:cNvSpPr txBox="1"/>
      </cdr:nvSpPr>
      <cdr:spPr>
        <a:xfrm xmlns:a="http://schemas.openxmlformats.org/drawingml/2006/main">
          <a:off x="2223868" y="1114355"/>
          <a:ext cx="259271" cy="14793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Avg.</a:t>
          </a:r>
        </a:p>
      </cdr:txBody>
    </cdr:sp>
  </cdr:relSizeAnchor>
  <cdr:relSizeAnchor xmlns:cdr="http://schemas.openxmlformats.org/drawingml/2006/chartDrawing">
    <cdr:from>
      <cdr:x>0.70381</cdr:x>
      <cdr:y>0.1675</cdr:y>
    </cdr:from>
    <cdr:to>
      <cdr:x>0.72553</cdr:x>
      <cdr:y>0.24837</cdr:y>
    </cdr:to>
    <cdr:sp macro="" textlink="">
      <cdr:nvSpPr>
        <cdr:cNvPr id="11" name="TextBox 20"/>
        <cdr:cNvSpPr txBox="1"/>
      </cdr:nvSpPr>
      <cdr:spPr>
        <a:xfrm xmlns:a="http://schemas.openxmlformats.org/drawingml/2006/main" rot="17162340">
          <a:off x="3385738" y="592601"/>
          <a:ext cx="251228" cy="10671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6 yrs.</a:t>
          </a:r>
        </a:p>
      </cdr:txBody>
    </cdr:sp>
  </cdr:relSizeAnchor>
  <cdr:relSizeAnchor xmlns:cdr="http://schemas.openxmlformats.org/drawingml/2006/chartDrawing">
    <cdr:from>
      <cdr:x>0.71572</cdr:x>
      <cdr:y>0.29495</cdr:y>
    </cdr:from>
    <cdr:to>
      <cdr:x>0.73758</cdr:x>
      <cdr:y>0.38914</cdr:y>
    </cdr:to>
    <cdr:sp macro="" textlink="">
      <cdr:nvSpPr>
        <cdr:cNvPr id="12" name="TextBox 20"/>
        <cdr:cNvSpPr txBox="1"/>
      </cdr:nvSpPr>
      <cdr:spPr>
        <a:xfrm xmlns:a="http://schemas.openxmlformats.org/drawingml/2006/main" rot="18150888">
          <a:off x="3423892" y="1008870"/>
          <a:ext cx="292607" cy="10740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12 yrs.</a:t>
          </a:r>
        </a:p>
      </cdr:txBody>
    </cdr:sp>
  </cdr:relSizeAnchor>
</c:userShapes>
</file>

<file path=xl/drawings/drawing5.xml><?xml version="1.0" encoding="utf-8"?>
<c:userShapes xmlns:c="http://schemas.openxmlformats.org/drawingml/2006/chart">
  <cdr:relSizeAnchor xmlns:cdr="http://schemas.openxmlformats.org/drawingml/2006/chartDrawing">
    <cdr:from>
      <cdr:x>0.17065</cdr:x>
      <cdr:y>0.21772</cdr:y>
    </cdr:from>
    <cdr:to>
      <cdr:x>0.17861</cdr:x>
      <cdr:y>0.29987</cdr:y>
    </cdr:to>
    <cdr:sp macro="" textlink="">
      <cdr:nvSpPr>
        <cdr:cNvPr id="2" name="TextBox 1"/>
        <cdr:cNvSpPr txBox="1"/>
      </cdr:nvSpPr>
      <cdr:spPr>
        <a:xfrm xmlns:a="http://schemas.openxmlformats.org/drawingml/2006/main" rot="16903406">
          <a:off x="1856322" y="896473"/>
          <a:ext cx="299081" cy="9143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6</a:t>
          </a:r>
          <a:r>
            <a:rPr lang="en-US" sz="800" baseline="0"/>
            <a:t> yrs.</a:t>
          </a:r>
          <a:endParaRPr lang="en-US" sz="800"/>
        </a:p>
      </cdr:txBody>
    </cdr:sp>
  </cdr:relSizeAnchor>
  <cdr:relSizeAnchor xmlns:cdr="http://schemas.openxmlformats.org/drawingml/2006/chartDrawing">
    <cdr:from>
      <cdr:x>0.17532</cdr:x>
      <cdr:y>0.32839</cdr:y>
    </cdr:from>
    <cdr:to>
      <cdr:x>0.18376</cdr:x>
      <cdr:y>0.43137</cdr:y>
    </cdr:to>
    <cdr:sp macro="" textlink="">
      <cdr:nvSpPr>
        <cdr:cNvPr id="3" name="TextBox 1"/>
        <cdr:cNvSpPr txBox="1"/>
      </cdr:nvSpPr>
      <cdr:spPr>
        <a:xfrm xmlns:a="http://schemas.openxmlformats.org/drawingml/2006/main" rot="18346935">
          <a:off x="1874820" y="1334548"/>
          <a:ext cx="374916" cy="9694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baseline="0"/>
            <a:t>12 yrs.</a:t>
          </a:r>
          <a:endParaRPr lang="en-US" sz="800"/>
        </a:p>
      </cdr:txBody>
    </cdr:sp>
  </cdr:relSizeAnchor>
  <cdr:relSizeAnchor xmlns:cdr="http://schemas.openxmlformats.org/drawingml/2006/chartDrawing">
    <cdr:from>
      <cdr:x>0.31237</cdr:x>
      <cdr:y>0.24958</cdr:y>
    </cdr:from>
    <cdr:to>
      <cdr:x>0.32062</cdr:x>
      <cdr:y>0.41694</cdr:y>
    </cdr:to>
    <cdr:sp macro="" textlink="">
      <cdr:nvSpPr>
        <cdr:cNvPr id="4" name="TextBox 1"/>
        <cdr:cNvSpPr txBox="1"/>
      </cdr:nvSpPr>
      <cdr:spPr>
        <a:xfrm xmlns:a="http://schemas.openxmlformats.org/drawingml/2006/main" rot="18264197">
          <a:off x="3330729" y="1165894"/>
          <a:ext cx="609302" cy="9476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2015 ANL</a:t>
          </a:r>
        </a:p>
      </cdr:txBody>
    </cdr:sp>
  </cdr:relSizeAnchor>
  <cdr:relSizeAnchor xmlns:cdr="http://schemas.openxmlformats.org/drawingml/2006/chartDrawing">
    <cdr:from>
      <cdr:x>0.27621</cdr:x>
      <cdr:y>0.428</cdr:y>
    </cdr:from>
    <cdr:to>
      <cdr:x>0.34528</cdr:x>
      <cdr:y>0.47551</cdr:y>
    </cdr:to>
    <cdr:sp macro="" textlink="">
      <cdr:nvSpPr>
        <cdr:cNvPr id="5" name="TextBox 1"/>
        <cdr:cNvSpPr txBox="1"/>
      </cdr:nvSpPr>
      <cdr:spPr>
        <a:xfrm xmlns:a="http://schemas.openxmlformats.org/drawingml/2006/main" rot="21365836">
          <a:off x="3172659" y="1558204"/>
          <a:ext cx="793357" cy="17296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2030</a:t>
          </a:r>
          <a:r>
            <a:rPr lang="en-US" sz="800" baseline="0"/>
            <a:t> DOE Goals</a:t>
          </a:r>
          <a:endParaRPr lang="en-US" sz="800"/>
        </a:p>
      </cdr:txBody>
    </cdr:sp>
  </cdr:relSizeAnchor>
  <cdr:relSizeAnchor xmlns:cdr="http://schemas.openxmlformats.org/drawingml/2006/chartDrawing">
    <cdr:from>
      <cdr:x>0.3847</cdr:x>
      <cdr:y>0.24949</cdr:y>
    </cdr:from>
    <cdr:to>
      <cdr:x>0.39295</cdr:x>
      <cdr:y>0.41686</cdr:y>
    </cdr:to>
    <cdr:sp macro="" textlink="">
      <cdr:nvSpPr>
        <cdr:cNvPr id="6" name="TextBox 1"/>
        <cdr:cNvSpPr txBox="1"/>
      </cdr:nvSpPr>
      <cdr:spPr>
        <a:xfrm xmlns:a="http://schemas.openxmlformats.org/drawingml/2006/main" rot="18494547">
          <a:off x="4161513" y="1165586"/>
          <a:ext cx="609339" cy="9476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$4.05/gal.</a:t>
          </a:r>
        </a:p>
      </cdr:txBody>
    </cdr:sp>
  </cdr:relSizeAnchor>
  <cdr:relSizeAnchor xmlns:cdr="http://schemas.openxmlformats.org/drawingml/2006/chartDrawing">
    <cdr:from>
      <cdr:x>0.39117</cdr:x>
      <cdr:y>0.34214</cdr:y>
    </cdr:from>
    <cdr:to>
      <cdr:x>0.4026</cdr:x>
      <cdr:y>0.48389</cdr:y>
    </cdr:to>
    <cdr:sp macro="" textlink="">
      <cdr:nvSpPr>
        <cdr:cNvPr id="7" name="TextBox 1"/>
        <cdr:cNvSpPr txBox="1"/>
      </cdr:nvSpPr>
      <cdr:spPr>
        <a:xfrm xmlns:a="http://schemas.openxmlformats.org/drawingml/2006/main" rot="18739765">
          <a:off x="4300749" y="1437994"/>
          <a:ext cx="516065" cy="13128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$1.59/gal.</a:t>
          </a:r>
        </a:p>
      </cdr:txBody>
    </cdr:sp>
  </cdr:relSizeAnchor>
  <cdr:relSizeAnchor xmlns:cdr="http://schemas.openxmlformats.org/drawingml/2006/chartDrawing">
    <cdr:from>
      <cdr:x>0.53105</cdr:x>
      <cdr:y>0.23101</cdr:y>
    </cdr:from>
    <cdr:to>
      <cdr:x>0.5393</cdr:x>
      <cdr:y>0.39838</cdr:y>
    </cdr:to>
    <cdr:sp macro="" textlink="">
      <cdr:nvSpPr>
        <cdr:cNvPr id="9" name="TextBox 1"/>
        <cdr:cNvSpPr txBox="1"/>
      </cdr:nvSpPr>
      <cdr:spPr>
        <a:xfrm xmlns:a="http://schemas.openxmlformats.org/drawingml/2006/main" rot="18317926">
          <a:off x="5842550" y="1098334"/>
          <a:ext cx="609338" cy="9476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$140/Mg</a:t>
          </a:r>
        </a:p>
      </cdr:txBody>
    </cdr:sp>
  </cdr:relSizeAnchor>
  <cdr:relSizeAnchor xmlns:cdr="http://schemas.openxmlformats.org/drawingml/2006/chartDrawing">
    <cdr:from>
      <cdr:x>0.53849</cdr:x>
      <cdr:y>0.32753</cdr:y>
    </cdr:from>
    <cdr:to>
      <cdr:x>0.55193</cdr:x>
      <cdr:y>0.4547</cdr:y>
    </cdr:to>
    <cdr:sp macro="" textlink="">
      <cdr:nvSpPr>
        <cdr:cNvPr id="10" name="TextBox 1"/>
        <cdr:cNvSpPr txBox="1"/>
      </cdr:nvSpPr>
      <cdr:spPr>
        <a:xfrm xmlns:a="http://schemas.openxmlformats.org/drawingml/2006/main" rot="18193653">
          <a:off x="6030944" y="1346723"/>
          <a:ext cx="462984" cy="15437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$14/Mg</a:t>
          </a:r>
        </a:p>
      </cdr:txBody>
    </cdr:sp>
  </cdr:relSizeAnchor>
  <cdr:relSizeAnchor xmlns:cdr="http://schemas.openxmlformats.org/drawingml/2006/chartDrawing">
    <cdr:from>
      <cdr:x>0.18937</cdr:x>
      <cdr:y>0.31608</cdr:y>
    </cdr:from>
    <cdr:to>
      <cdr:x>0.29024</cdr:x>
      <cdr:y>0.3513</cdr:y>
    </cdr:to>
    <cdr:sp macro="" textlink="">
      <cdr:nvSpPr>
        <cdr:cNvPr id="13" name="TextBox 20"/>
        <cdr:cNvSpPr txBox="1"/>
      </cdr:nvSpPr>
      <cdr:spPr>
        <a:xfrm xmlns:a="http://schemas.openxmlformats.org/drawingml/2006/main" rot="19142206">
          <a:off x="2175138" y="1150743"/>
          <a:ext cx="1158622" cy="12822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95% worst (urban)</a:t>
          </a:r>
        </a:p>
      </cdr:txBody>
    </cdr:sp>
  </cdr:relSizeAnchor>
  <cdr:relSizeAnchor xmlns:cdr="http://schemas.openxmlformats.org/drawingml/2006/chartDrawing">
    <cdr:from>
      <cdr:x>0.19921</cdr:x>
      <cdr:y>0.41765</cdr:y>
    </cdr:from>
    <cdr:to>
      <cdr:x>0.27568</cdr:x>
      <cdr:y>0.45743</cdr:y>
    </cdr:to>
    <cdr:sp macro="" textlink="">
      <cdr:nvSpPr>
        <cdr:cNvPr id="14" name="TextBox 20"/>
        <cdr:cNvSpPr txBox="1"/>
      </cdr:nvSpPr>
      <cdr:spPr>
        <a:xfrm xmlns:a="http://schemas.openxmlformats.org/drawingml/2006/main" rot="19675498">
          <a:off x="2288183" y="1520507"/>
          <a:ext cx="878356" cy="14482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5% best (rural)</a:t>
          </a:r>
        </a:p>
      </cdr:txBody>
    </cdr:sp>
  </cdr:relSizeAnchor>
  <cdr:relSizeAnchor xmlns:cdr="http://schemas.openxmlformats.org/drawingml/2006/chartDrawing">
    <cdr:from>
      <cdr:x>0.45462</cdr:x>
      <cdr:y>0.26228</cdr:y>
    </cdr:from>
    <cdr:to>
      <cdr:x>0.46286</cdr:x>
      <cdr:y>0.42965</cdr:y>
    </cdr:to>
    <cdr:sp macro="" textlink="">
      <cdr:nvSpPr>
        <cdr:cNvPr id="15" name="TextBox 1"/>
        <cdr:cNvSpPr txBox="1"/>
      </cdr:nvSpPr>
      <cdr:spPr>
        <a:xfrm xmlns:a="http://schemas.openxmlformats.org/drawingml/2006/main" rot="18185221">
          <a:off x="4964564" y="1212237"/>
          <a:ext cx="609338" cy="9464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$0.10/kWh</a:t>
          </a:r>
        </a:p>
      </cdr:txBody>
    </cdr:sp>
  </cdr:relSizeAnchor>
  <cdr:relSizeAnchor xmlns:cdr="http://schemas.openxmlformats.org/drawingml/2006/chartDrawing">
    <cdr:from>
      <cdr:x>0.46745</cdr:x>
      <cdr:y>0.30102</cdr:y>
    </cdr:from>
    <cdr:to>
      <cdr:x>0.4757</cdr:x>
      <cdr:y>0.46838</cdr:y>
    </cdr:to>
    <cdr:sp macro="" textlink="">
      <cdr:nvSpPr>
        <cdr:cNvPr id="17" name="TextBox 1"/>
        <cdr:cNvSpPr txBox="1"/>
      </cdr:nvSpPr>
      <cdr:spPr>
        <a:xfrm xmlns:a="http://schemas.openxmlformats.org/drawingml/2006/main" rot="18094048">
          <a:off x="5112040" y="1353185"/>
          <a:ext cx="609302" cy="9476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$0.12/kWh</a:t>
          </a:r>
        </a:p>
      </cdr:txBody>
    </cdr:sp>
  </cdr:relSizeAnchor>
  <cdr:relSizeAnchor xmlns:cdr="http://schemas.openxmlformats.org/drawingml/2006/chartDrawing">
    <cdr:from>
      <cdr:x>0.79695</cdr:x>
      <cdr:y>0.31896</cdr:y>
    </cdr:from>
    <cdr:to>
      <cdr:x>0.84278</cdr:x>
      <cdr:y>0.36079</cdr:y>
    </cdr:to>
    <cdr:sp macro="" textlink="">
      <cdr:nvSpPr>
        <cdr:cNvPr id="39" name="TextBox 1"/>
        <cdr:cNvSpPr txBox="1"/>
      </cdr:nvSpPr>
      <cdr:spPr>
        <a:xfrm xmlns:a="http://schemas.openxmlformats.org/drawingml/2006/main" rot="19139607">
          <a:off x="9154045" y="1161209"/>
          <a:ext cx="526417" cy="1523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Low (3%)</a:t>
          </a:r>
        </a:p>
      </cdr:txBody>
    </cdr:sp>
  </cdr:relSizeAnchor>
  <cdr:relSizeAnchor xmlns:cdr="http://schemas.openxmlformats.org/drawingml/2006/chartDrawing">
    <cdr:from>
      <cdr:x>0.79544</cdr:x>
      <cdr:y>0.44964</cdr:y>
    </cdr:from>
    <cdr:to>
      <cdr:x>0.84976</cdr:x>
      <cdr:y>0.49298</cdr:y>
    </cdr:to>
    <cdr:sp macro="" textlink="">
      <cdr:nvSpPr>
        <cdr:cNvPr id="40" name="TextBox 1"/>
        <cdr:cNvSpPr txBox="1"/>
      </cdr:nvSpPr>
      <cdr:spPr>
        <a:xfrm xmlns:a="http://schemas.openxmlformats.org/drawingml/2006/main" rot="20101456">
          <a:off x="9136654" y="1636991"/>
          <a:ext cx="623935" cy="15778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High</a:t>
          </a:r>
          <a:r>
            <a:rPr lang="en-US" sz="800" baseline="0"/>
            <a:t> (20%)</a:t>
          </a:r>
          <a:endParaRPr lang="en-US" sz="800"/>
        </a:p>
      </cdr:txBody>
    </cdr:sp>
  </cdr:relSizeAnchor>
  <cdr:relSizeAnchor xmlns:cdr="http://schemas.openxmlformats.org/drawingml/2006/chartDrawing">
    <cdr:from>
      <cdr:x>0.57055</cdr:x>
      <cdr:y>0.42131</cdr:y>
    </cdr:from>
    <cdr:to>
      <cdr:x>0.63464</cdr:x>
      <cdr:y>0.4659</cdr:y>
    </cdr:to>
    <cdr:sp macro="" textlink="">
      <cdr:nvSpPr>
        <cdr:cNvPr id="18" name="TextBox 20"/>
        <cdr:cNvSpPr txBox="1"/>
      </cdr:nvSpPr>
      <cdr:spPr>
        <a:xfrm xmlns:a="http://schemas.openxmlformats.org/drawingml/2006/main" rot="20408313">
          <a:off x="6553537" y="1533855"/>
          <a:ext cx="736061" cy="16234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Low ($0/gal)</a:t>
          </a:r>
        </a:p>
      </cdr:txBody>
    </cdr:sp>
  </cdr:relSizeAnchor>
  <cdr:relSizeAnchor xmlns:cdr="http://schemas.openxmlformats.org/drawingml/2006/chartDrawing">
    <cdr:from>
      <cdr:x>0.55373</cdr:x>
      <cdr:y>0.32216</cdr:y>
    </cdr:from>
    <cdr:to>
      <cdr:x>0.63345</cdr:x>
      <cdr:y>0.36021</cdr:y>
    </cdr:to>
    <cdr:sp macro="" textlink="">
      <cdr:nvSpPr>
        <cdr:cNvPr id="19" name="TextBox 20"/>
        <cdr:cNvSpPr txBox="1"/>
      </cdr:nvSpPr>
      <cdr:spPr>
        <a:xfrm xmlns:a="http://schemas.openxmlformats.org/drawingml/2006/main" rot="19480809">
          <a:off x="6360304" y="1172875"/>
          <a:ext cx="915686" cy="13852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High ($0.28/gal)</a:t>
          </a:r>
        </a:p>
      </cdr:txBody>
    </cdr:sp>
  </cdr:relSizeAnchor>
  <cdr:relSizeAnchor xmlns:cdr="http://schemas.openxmlformats.org/drawingml/2006/chartDrawing">
    <cdr:from>
      <cdr:x>0.62867</cdr:x>
      <cdr:y>0.31713</cdr:y>
    </cdr:from>
    <cdr:to>
      <cdr:x>0.70839</cdr:x>
      <cdr:y>0.35518</cdr:y>
    </cdr:to>
    <cdr:sp macro="" textlink="">
      <cdr:nvSpPr>
        <cdr:cNvPr id="20" name="TextBox 20"/>
        <cdr:cNvSpPr txBox="1"/>
      </cdr:nvSpPr>
      <cdr:spPr>
        <a:xfrm xmlns:a="http://schemas.openxmlformats.org/drawingml/2006/main" rot="19138498">
          <a:off x="7221034" y="1154567"/>
          <a:ext cx="915687" cy="13852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High ($0.45/gal)</a:t>
          </a:r>
        </a:p>
      </cdr:txBody>
    </cdr:sp>
  </cdr:relSizeAnchor>
  <cdr:relSizeAnchor xmlns:cdr="http://schemas.openxmlformats.org/drawingml/2006/chartDrawing">
    <cdr:from>
      <cdr:x>0.63467</cdr:x>
      <cdr:y>0.4222</cdr:y>
    </cdr:from>
    <cdr:to>
      <cdr:x>0.71439</cdr:x>
      <cdr:y>0.46025</cdr:y>
    </cdr:to>
    <cdr:sp macro="" textlink="">
      <cdr:nvSpPr>
        <cdr:cNvPr id="21" name="TextBox 20"/>
        <cdr:cNvSpPr txBox="1"/>
      </cdr:nvSpPr>
      <cdr:spPr>
        <a:xfrm xmlns:a="http://schemas.openxmlformats.org/drawingml/2006/main" rot="19671094">
          <a:off x="7290000" y="1537080"/>
          <a:ext cx="915686" cy="13852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Low ($0.07/gal)</a:t>
          </a:r>
        </a:p>
      </cdr:txBody>
    </cdr:sp>
  </cdr:relSizeAnchor>
  <cdr:relSizeAnchor xmlns:cdr="http://schemas.openxmlformats.org/drawingml/2006/chartDrawing">
    <cdr:from>
      <cdr:x>0.70529</cdr:x>
      <cdr:y>0.32136</cdr:y>
    </cdr:from>
    <cdr:to>
      <cdr:x>0.77436</cdr:x>
      <cdr:y>0.36101</cdr:y>
    </cdr:to>
    <cdr:sp macro="" textlink="">
      <cdr:nvSpPr>
        <cdr:cNvPr id="22" name="TextBox 20"/>
        <cdr:cNvSpPr txBox="1"/>
      </cdr:nvSpPr>
      <cdr:spPr>
        <a:xfrm xmlns:a="http://schemas.openxmlformats.org/drawingml/2006/main" rot="19251714">
          <a:off x="8101139" y="1169966"/>
          <a:ext cx="793340" cy="14435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High ($0.16/gal)</a:t>
          </a:r>
        </a:p>
      </cdr:txBody>
    </cdr:sp>
  </cdr:relSizeAnchor>
  <cdr:relSizeAnchor xmlns:cdr="http://schemas.openxmlformats.org/drawingml/2006/chartDrawing">
    <cdr:from>
      <cdr:x>0.70561</cdr:x>
      <cdr:y>0.42148</cdr:y>
    </cdr:from>
    <cdr:to>
      <cdr:x>0.78533</cdr:x>
      <cdr:y>0.45953</cdr:y>
    </cdr:to>
    <cdr:sp macro="" textlink="">
      <cdr:nvSpPr>
        <cdr:cNvPr id="23" name="TextBox 20"/>
        <cdr:cNvSpPr txBox="1"/>
      </cdr:nvSpPr>
      <cdr:spPr>
        <a:xfrm xmlns:a="http://schemas.openxmlformats.org/drawingml/2006/main" rot="19619155">
          <a:off x="8104805" y="1534481"/>
          <a:ext cx="915686" cy="13852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Low ($0/gal)</a:t>
          </a:r>
        </a:p>
      </cdr:txBody>
    </cdr:sp>
  </cdr:relSizeAnchor>
  <cdr:relSizeAnchor xmlns:cdr="http://schemas.openxmlformats.org/drawingml/2006/chartDrawing">
    <cdr:from>
      <cdr:x>0.85258</cdr:x>
      <cdr:y>0.12791</cdr:y>
    </cdr:from>
    <cdr:to>
      <cdr:x>0.99171</cdr:x>
      <cdr:y>0.12791</cdr:y>
    </cdr:to>
    <cdr:sp macro="" textlink="">
      <cdr:nvSpPr>
        <cdr:cNvPr id="25" name="Straight Connector 24"/>
        <cdr:cNvSpPr/>
      </cdr:nvSpPr>
      <cdr:spPr>
        <a:xfrm xmlns:a="http://schemas.openxmlformats.org/drawingml/2006/main">
          <a:off x="9792951" y="465666"/>
          <a:ext cx="1598083" cy="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0.8535</cdr:x>
      <cdr:y>0.21512</cdr:y>
    </cdr:from>
    <cdr:to>
      <cdr:x>0.99263</cdr:x>
      <cdr:y>0.21512</cdr:y>
    </cdr:to>
    <cdr:sp macro="" textlink="">
      <cdr:nvSpPr>
        <cdr:cNvPr id="26" name="Straight Connector 25"/>
        <cdr:cNvSpPr/>
      </cdr:nvSpPr>
      <cdr:spPr>
        <a:xfrm xmlns:a="http://schemas.openxmlformats.org/drawingml/2006/main">
          <a:off x="9803535" y="783166"/>
          <a:ext cx="1598083" cy="0"/>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75000"/>
            </a:sys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0.8535</cdr:x>
      <cdr:y>0.52326</cdr:y>
    </cdr:from>
    <cdr:to>
      <cdr:x>0.99263</cdr:x>
      <cdr:y>0.52326</cdr:y>
    </cdr:to>
    <cdr:sp macro="" textlink="">
      <cdr:nvSpPr>
        <cdr:cNvPr id="27" name="Straight Connector 26"/>
        <cdr:cNvSpPr/>
      </cdr:nvSpPr>
      <cdr:spPr>
        <a:xfrm xmlns:a="http://schemas.openxmlformats.org/drawingml/2006/main">
          <a:off x="9803535" y="1904999"/>
          <a:ext cx="1598083" cy="0"/>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75000"/>
            </a:sys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0.8535</cdr:x>
      <cdr:y>0.65407</cdr:y>
    </cdr:from>
    <cdr:to>
      <cdr:x>0.99263</cdr:x>
      <cdr:y>0.65407</cdr:y>
    </cdr:to>
    <cdr:sp macro="" textlink="">
      <cdr:nvSpPr>
        <cdr:cNvPr id="28" name="Straight Connector 27"/>
        <cdr:cNvSpPr/>
      </cdr:nvSpPr>
      <cdr:spPr>
        <a:xfrm xmlns:a="http://schemas.openxmlformats.org/drawingml/2006/main">
          <a:off x="9803534" y="2381249"/>
          <a:ext cx="1598083" cy="0"/>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75000"/>
            </a:sys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0.37677</cdr:x>
      <cdr:y>0.19291</cdr:y>
    </cdr:from>
    <cdr:to>
      <cdr:x>0.39692</cdr:x>
      <cdr:y>0.42913</cdr:y>
    </cdr:to>
    <cdr:sp macro="" textlink="">
      <cdr:nvSpPr>
        <cdr:cNvPr id="5" name="TextBox 20"/>
        <cdr:cNvSpPr txBox="1"/>
      </cdr:nvSpPr>
      <cdr:spPr>
        <a:xfrm xmlns:a="http://schemas.openxmlformats.org/drawingml/2006/main" rot="17282481">
          <a:off x="1472118" y="925275"/>
          <a:ext cx="739177" cy="9593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95% worst (coal)</a:t>
          </a:r>
        </a:p>
      </cdr:txBody>
    </cdr:sp>
  </cdr:relSizeAnchor>
  <cdr:relSizeAnchor xmlns:cdr="http://schemas.openxmlformats.org/drawingml/2006/chartDrawing">
    <cdr:from>
      <cdr:x>0.30526</cdr:x>
      <cdr:y>0.50981</cdr:y>
    </cdr:from>
    <cdr:to>
      <cdr:x>0.45269</cdr:x>
      <cdr:y>0.55222</cdr:y>
    </cdr:to>
    <cdr:sp macro="" textlink="">
      <cdr:nvSpPr>
        <cdr:cNvPr id="6" name="TextBox 20"/>
        <cdr:cNvSpPr txBox="1"/>
      </cdr:nvSpPr>
      <cdr:spPr>
        <a:xfrm xmlns:a="http://schemas.openxmlformats.org/drawingml/2006/main" rot="1369370">
          <a:off x="1453300" y="1595291"/>
          <a:ext cx="701891" cy="13270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5% best (hydro)</a:t>
          </a:r>
        </a:p>
      </cdr:txBody>
    </cdr:sp>
  </cdr:relSizeAnchor>
  <cdr:relSizeAnchor xmlns:cdr="http://schemas.openxmlformats.org/drawingml/2006/chartDrawing">
    <cdr:from>
      <cdr:x>0.48663</cdr:x>
      <cdr:y>0.34244</cdr:y>
    </cdr:from>
    <cdr:to>
      <cdr:x>0.61174</cdr:x>
      <cdr:y>0.37719</cdr:y>
    </cdr:to>
    <cdr:sp macro="" textlink="">
      <cdr:nvSpPr>
        <cdr:cNvPr id="8" name="TextBox 20"/>
        <cdr:cNvSpPr txBox="1"/>
      </cdr:nvSpPr>
      <cdr:spPr>
        <a:xfrm xmlns:a="http://schemas.openxmlformats.org/drawingml/2006/main">
          <a:off x="2316773" y="1071566"/>
          <a:ext cx="595621" cy="10874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95% worst</a:t>
          </a:r>
          <a:r>
            <a:rPr lang="en-US" sz="800" baseline="0"/>
            <a:t> (</a:t>
          </a:r>
          <a:r>
            <a:rPr lang="en-US" sz="800"/>
            <a:t>urban)</a:t>
          </a:r>
        </a:p>
      </cdr:txBody>
    </cdr:sp>
  </cdr:relSizeAnchor>
  <cdr:relSizeAnchor xmlns:cdr="http://schemas.openxmlformats.org/drawingml/2006/chartDrawing">
    <cdr:from>
      <cdr:x>0.4822</cdr:x>
      <cdr:y>0.50314</cdr:y>
    </cdr:from>
    <cdr:to>
      <cdr:x>0.62314</cdr:x>
      <cdr:y>0.54119</cdr:y>
    </cdr:to>
    <cdr:sp macro="" textlink="">
      <cdr:nvSpPr>
        <cdr:cNvPr id="9" name="TextBox 20"/>
        <cdr:cNvSpPr txBox="1"/>
      </cdr:nvSpPr>
      <cdr:spPr>
        <a:xfrm xmlns:a="http://schemas.openxmlformats.org/drawingml/2006/main" rot="21007432">
          <a:off x="2295683" y="1574407"/>
          <a:ext cx="670992" cy="11906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5% best (rural)</a:t>
          </a:r>
        </a:p>
      </cdr:txBody>
    </cdr:sp>
  </cdr:relSizeAnchor>
  <cdr:relSizeAnchor xmlns:cdr="http://schemas.openxmlformats.org/drawingml/2006/chartDrawing">
    <cdr:from>
      <cdr:x>0.74112</cdr:x>
      <cdr:y>0.29249</cdr:y>
    </cdr:from>
    <cdr:to>
      <cdr:x>0.76284</cdr:x>
      <cdr:y>0.37336</cdr:y>
    </cdr:to>
    <cdr:sp macro="" textlink="">
      <cdr:nvSpPr>
        <cdr:cNvPr id="11" name="TextBox 20"/>
        <cdr:cNvSpPr txBox="1"/>
      </cdr:nvSpPr>
      <cdr:spPr>
        <a:xfrm xmlns:a="http://schemas.openxmlformats.org/drawingml/2006/main" rot="17515515">
          <a:off x="3453531" y="990084"/>
          <a:ext cx="253057" cy="10340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6 yrs.</a:t>
          </a:r>
        </a:p>
      </cdr:txBody>
    </cdr:sp>
  </cdr:relSizeAnchor>
  <cdr:relSizeAnchor xmlns:cdr="http://schemas.openxmlformats.org/drawingml/2006/chartDrawing">
    <cdr:from>
      <cdr:x>0.75702</cdr:x>
      <cdr:y>0.38842</cdr:y>
    </cdr:from>
    <cdr:to>
      <cdr:x>0.77888</cdr:x>
      <cdr:y>0.48261</cdr:y>
    </cdr:to>
    <cdr:sp macro="" textlink="">
      <cdr:nvSpPr>
        <cdr:cNvPr id="12" name="TextBox 20"/>
        <cdr:cNvSpPr txBox="1"/>
      </cdr:nvSpPr>
      <cdr:spPr>
        <a:xfrm xmlns:a="http://schemas.openxmlformats.org/drawingml/2006/main" rot="18862298">
          <a:off x="3594467" y="1283334"/>
          <a:ext cx="289056" cy="10643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12 yrs.</a:t>
          </a:r>
        </a:p>
      </cdr:txBody>
    </cdr:sp>
  </cdr:relSizeAnchor>
</c:userShapes>
</file>

<file path=xl/drawings/drawing7.xml><?xml version="1.0" encoding="utf-8"?>
<c:userShapes xmlns:c="http://schemas.openxmlformats.org/drawingml/2006/chart">
  <cdr:relSizeAnchor xmlns:cdr="http://schemas.openxmlformats.org/drawingml/2006/chartDrawing">
    <cdr:from>
      <cdr:x>0.28313</cdr:x>
      <cdr:y>0.27406</cdr:y>
    </cdr:from>
    <cdr:to>
      <cdr:x>0.40899</cdr:x>
      <cdr:y>0.35077</cdr:y>
    </cdr:to>
    <cdr:sp macro="" textlink="">
      <cdr:nvSpPr>
        <cdr:cNvPr id="5" name="TextBox 20"/>
        <cdr:cNvSpPr txBox="1"/>
      </cdr:nvSpPr>
      <cdr:spPr>
        <a:xfrm xmlns:a="http://schemas.openxmlformats.org/drawingml/2006/main" rot="19192916">
          <a:off x="1396462" y="857572"/>
          <a:ext cx="620808" cy="24004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ANL 2015</a:t>
          </a:r>
          <a:r>
            <a:rPr lang="en-US" sz="800" baseline="0"/>
            <a:t> </a:t>
          </a:r>
        </a:p>
        <a:p xmlns:a="http://schemas.openxmlformats.org/drawingml/2006/main">
          <a:pPr algn="ctr"/>
          <a:r>
            <a:rPr lang="en-US" sz="800" baseline="0"/>
            <a:t>Lit Review</a:t>
          </a:r>
          <a:endParaRPr lang="en-US" sz="800"/>
        </a:p>
      </cdr:txBody>
    </cdr:sp>
  </cdr:relSizeAnchor>
  <cdr:relSizeAnchor xmlns:cdr="http://schemas.openxmlformats.org/drawingml/2006/chartDrawing">
    <cdr:from>
      <cdr:x>0.28573</cdr:x>
      <cdr:y>0.40619</cdr:y>
    </cdr:from>
    <cdr:to>
      <cdr:x>0.43892</cdr:x>
      <cdr:y>0.45026</cdr:y>
    </cdr:to>
    <cdr:sp macro="" textlink="">
      <cdr:nvSpPr>
        <cdr:cNvPr id="6" name="TextBox 20"/>
        <cdr:cNvSpPr txBox="1"/>
      </cdr:nvSpPr>
      <cdr:spPr>
        <a:xfrm xmlns:a="http://schemas.openxmlformats.org/drawingml/2006/main" rot="21277422">
          <a:off x="1409303" y="1271052"/>
          <a:ext cx="755577" cy="13790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DOE 2030 Targets</a:t>
          </a:r>
        </a:p>
      </cdr:txBody>
    </cdr:sp>
  </cdr:relSizeAnchor>
  <cdr:relSizeAnchor xmlns:cdr="http://schemas.openxmlformats.org/drawingml/2006/chartDrawing">
    <cdr:from>
      <cdr:x>0.44895</cdr:x>
      <cdr:y>0.31099</cdr:y>
    </cdr:from>
    <cdr:to>
      <cdr:x>0.5423</cdr:x>
      <cdr:y>0.34712</cdr:y>
    </cdr:to>
    <cdr:sp macro="" textlink="">
      <cdr:nvSpPr>
        <cdr:cNvPr id="8" name="TextBox 20"/>
        <cdr:cNvSpPr txBox="1"/>
      </cdr:nvSpPr>
      <cdr:spPr>
        <a:xfrm xmlns:a="http://schemas.openxmlformats.org/drawingml/2006/main" rot="173239">
          <a:off x="2214340" y="973160"/>
          <a:ext cx="460429" cy="11305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$4.05/gal.</a:t>
          </a:r>
        </a:p>
      </cdr:txBody>
    </cdr:sp>
  </cdr:relSizeAnchor>
  <cdr:relSizeAnchor xmlns:cdr="http://schemas.openxmlformats.org/drawingml/2006/chartDrawing">
    <cdr:from>
      <cdr:x>0.45989</cdr:x>
      <cdr:y>0.42264</cdr:y>
    </cdr:from>
    <cdr:to>
      <cdr:x>0.55647</cdr:x>
      <cdr:y>0.46131</cdr:y>
    </cdr:to>
    <cdr:sp macro="" textlink="">
      <cdr:nvSpPr>
        <cdr:cNvPr id="9" name="TextBox 20"/>
        <cdr:cNvSpPr txBox="1"/>
      </cdr:nvSpPr>
      <cdr:spPr>
        <a:xfrm xmlns:a="http://schemas.openxmlformats.org/drawingml/2006/main" rot="21069389">
          <a:off x="2268310" y="1322526"/>
          <a:ext cx="476361" cy="12100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$1.59/gal.</a:t>
          </a:r>
        </a:p>
      </cdr:txBody>
    </cdr:sp>
  </cdr:relSizeAnchor>
  <cdr:relSizeAnchor xmlns:cdr="http://schemas.openxmlformats.org/drawingml/2006/chartDrawing">
    <cdr:from>
      <cdr:x>0.69802</cdr:x>
      <cdr:y>0.16446</cdr:y>
    </cdr:from>
    <cdr:to>
      <cdr:x>0.71974</cdr:x>
      <cdr:y>0.24533</cdr:y>
    </cdr:to>
    <cdr:sp macro="" textlink="">
      <cdr:nvSpPr>
        <cdr:cNvPr id="11" name="TextBox 20"/>
        <cdr:cNvSpPr txBox="1"/>
      </cdr:nvSpPr>
      <cdr:spPr>
        <a:xfrm xmlns:a="http://schemas.openxmlformats.org/drawingml/2006/main" rot="17162340">
          <a:off x="3369855" y="587577"/>
          <a:ext cx="253058" cy="10713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6 yrs.</a:t>
          </a:r>
        </a:p>
      </cdr:txBody>
    </cdr:sp>
  </cdr:relSizeAnchor>
  <cdr:relSizeAnchor xmlns:cdr="http://schemas.openxmlformats.org/drawingml/2006/chartDrawing">
    <cdr:from>
      <cdr:x>0.71958</cdr:x>
      <cdr:y>0.29495</cdr:y>
    </cdr:from>
    <cdr:to>
      <cdr:x>0.74144</cdr:x>
      <cdr:y>0.38914</cdr:y>
    </cdr:to>
    <cdr:sp macro="" textlink="">
      <cdr:nvSpPr>
        <cdr:cNvPr id="12" name="TextBox 20"/>
        <cdr:cNvSpPr txBox="1"/>
      </cdr:nvSpPr>
      <cdr:spPr>
        <a:xfrm xmlns:a="http://schemas.openxmlformats.org/drawingml/2006/main" rot="18150888">
          <a:off x="3455729" y="1016414"/>
          <a:ext cx="294739" cy="10782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12 yrs.</a:t>
          </a:r>
        </a:p>
      </cdr:txBody>
    </cdr:sp>
  </cdr:relSizeAnchor>
</c:userShapes>
</file>

<file path=xl/drawings/drawing8.xml><?xml version="1.0" encoding="utf-8"?>
<c:userShapes xmlns:c="http://schemas.openxmlformats.org/drawingml/2006/chart">
  <cdr:relSizeAnchor xmlns:cdr="http://schemas.openxmlformats.org/drawingml/2006/chartDrawing">
    <cdr:from>
      <cdr:x>0.10556</cdr:x>
      <cdr:y>0.383</cdr:y>
    </cdr:from>
    <cdr:to>
      <cdr:x>0.15341</cdr:x>
      <cdr:y>0.43321</cdr:y>
    </cdr:to>
    <cdr:sp macro="" textlink="">
      <cdr:nvSpPr>
        <cdr:cNvPr id="19" name="TextBox 20"/>
        <cdr:cNvSpPr txBox="1"/>
      </cdr:nvSpPr>
      <cdr:spPr>
        <a:xfrm xmlns:a="http://schemas.openxmlformats.org/drawingml/2006/main" rot="20156607">
          <a:off x="1199464" y="1200730"/>
          <a:ext cx="543779" cy="15741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ANL 2010</a:t>
          </a:r>
        </a:p>
      </cdr:txBody>
    </cdr:sp>
  </cdr:relSizeAnchor>
  <cdr:relSizeAnchor xmlns:cdr="http://schemas.openxmlformats.org/drawingml/2006/chartDrawing">
    <cdr:from>
      <cdr:x>0.11243</cdr:x>
      <cdr:y>0.45606</cdr:y>
    </cdr:from>
    <cdr:to>
      <cdr:x>0.15407</cdr:x>
      <cdr:y>0.49174</cdr:y>
    </cdr:to>
    <cdr:sp macro="" textlink="">
      <cdr:nvSpPr>
        <cdr:cNvPr id="20" name="TextBox 20"/>
        <cdr:cNvSpPr txBox="1"/>
      </cdr:nvSpPr>
      <cdr:spPr>
        <a:xfrm xmlns:a="http://schemas.openxmlformats.org/drawingml/2006/main" rot="20126555">
          <a:off x="1277626" y="1429801"/>
          <a:ext cx="473130" cy="11185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ANL 2020</a:t>
          </a:r>
        </a:p>
      </cdr:txBody>
    </cdr:sp>
  </cdr:relSizeAnchor>
  <cdr:relSizeAnchor xmlns:cdr="http://schemas.openxmlformats.org/drawingml/2006/chartDrawing">
    <cdr:from>
      <cdr:x>0.22896</cdr:x>
      <cdr:y>0.34526</cdr:y>
    </cdr:from>
    <cdr:to>
      <cdr:x>0.23819</cdr:x>
      <cdr:y>0.41157</cdr:y>
    </cdr:to>
    <cdr:sp macro="" textlink="">
      <cdr:nvSpPr>
        <cdr:cNvPr id="21" name="TextBox 20"/>
        <cdr:cNvSpPr txBox="1"/>
      </cdr:nvSpPr>
      <cdr:spPr>
        <a:xfrm xmlns:a="http://schemas.openxmlformats.org/drawingml/2006/main" rot="18681496">
          <a:off x="2550261" y="1133940"/>
          <a:ext cx="207893" cy="10487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t>6y</a:t>
          </a:r>
        </a:p>
      </cdr:txBody>
    </cdr:sp>
  </cdr:relSizeAnchor>
  <cdr:relSizeAnchor xmlns:cdr="http://schemas.openxmlformats.org/drawingml/2006/chartDrawing">
    <cdr:from>
      <cdr:x>0.22245</cdr:x>
      <cdr:y>0.43869</cdr:y>
    </cdr:from>
    <cdr:to>
      <cdr:x>0.24602</cdr:x>
      <cdr:y>0.49277</cdr:y>
    </cdr:to>
    <cdr:sp macro="" textlink="">
      <cdr:nvSpPr>
        <cdr:cNvPr id="22" name="TextBox 1"/>
        <cdr:cNvSpPr txBox="1"/>
      </cdr:nvSpPr>
      <cdr:spPr>
        <a:xfrm xmlns:a="http://schemas.openxmlformats.org/drawingml/2006/main" rot="20013398">
          <a:off x="2527820" y="1375335"/>
          <a:ext cx="267841" cy="16954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baseline="0"/>
            <a:t>12y</a:t>
          </a:r>
          <a:endParaRPr lang="en-US" sz="800"/>
        </a:p>
      </cdr:txBody>
    </cdr:sp>
  </cdr:relSizeAnchor>
  <cdr:relSizeAnchor xmlns:cdr="http://schemas.openxmlformats.org/drawingml/2006/chartDrawing">
    <cdr:from>
      <cdr:x>0.28331</cdr:x>
      <cdr:y>0.31342</cdr:y>
    </cdr:from>
    <cdr:to>
      <cdr:x>0.35487</cdr:x>
      <cdr:y>0.36884</cdr:y>
    </cdr:to>
    <cdr:sp macro="" textlink="">
      <cdr:nvSpPr>
        <cdr:cNvPr id="23" name="TextBox 20"/>
        <cdr:cNvSpPr txBox="1"/>
      </cdr:nvSpPr>
      <cdr:spPr>
        <a:xfrm xmlns:a="http://schemas.openxmlformats.org/drawingml/2006/main" rot="1209718">
          <a:off x="3219354" y="982599"/>
          <a:ext cx="813197" cy="17375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95% worst (urban)</a:t>
          </a:r>
        </a:p>
      </cdr:txBody>
    </cdr:sp>
  </cdr:relSizeAnchor>
  <cdr:relSizeAnchor xmlns:cdr="http://schemas.openxmlformats.org/drawingml/2006/chartDrawing">
    <cdr:from>
      <cdr:x>0.28044</cdr:x>
      <cdr:y>0.47731</cdr:y>
    </cdr:from>
    <cdr:to>
      <cdr:x>0.36082</cdr:x>
      <cdr:y>0.52227</cdr:y>
    </cdr:to>
    <cdr:sp macro="" textlink="">
      <cdr:nvSpPr>
        <cdr:cNvPr id="24" name="TextBox 20"/>
        <cdr:cNvSpPr txBox="1"/>
      </cdr:nvSpPr>
      <cdr:spPr>
        <a:xfrm xmlns:a="http://schemas.openxmlformats.org/drawingml/2006/main" rot="21366425">
          <a:off x="3186728" y="1496410"/>
          <a:ext cx="913363" cy="14094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5% best( rural)</a:t>
          </a:r>
        </a:p>
      </cdr:txBody>
    </cdr:sp>
  </cdr:relSizeAnchor>
  <cdr:relSizeAnchor xmlns:cdr="http://schemas.openxmlformats.org/drawingml/2006/chartDrawing">
    <cdr:from>
      <cdr:x>0.38365</cdr:x>
      <cdr:y>0.51555</cdr:y>
    </cdr:from>
    <cdr:to>
      <cdr:x>0.46018</cdr:x>
      <cdr:y>0.54991</cdr:y>
    </cdr:to>
    <cdr:sp macro="" textlink="">
      <cdr:nvSpPr>
        <cdr:cNvPr id="25" name="TextBox 20"/>
        <cdr:cNvSpPr txBox="1"/>
      </cdr:nvSpPr>
      <cdr:spPr>
        <a:xfrm xmlns:a="http://schemas.openxmlformats.org/drawingml/2006/main">
          <a:off x="4359552" y="1616288"/>
          <a:ext cx="869673" cy="10773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Low ($14/t)</a:t>
          </a:r>
        </a:p>
      </cdr:txBody>
    </cdr:sp>
  </cdr:relSizeAnchor>
  <cdr:relSizeAnchor xmlns:cdr="http://schemas.openxmlformats.org/drawingml/2006/chartDrawing">
    <cdr:from>
      <cdr:x>0.40334</cdr:x>
      <cdr:y>0.1669</cdr:y>
    </cdr:from>
    <cdr:to>
      <cdr:x>0.44939</cdr:x>
      <cdr:y>0.21674</cdr:y>
    </cdr:to>
    <cdr:sp macro="" textlink="">
      <cdr:nvSpPr>
        <cdr:cNvPr id="28" name="TextBox 20"/>
        <cdr:cNvSpPr txBox="1"/>
      </cdr:nvSpPr>
      <cdr:spPr>
        <a:xfrm xmlns:a="http://schemas.openxmlformats.org/drawingml/2006/main" rot="19182405">
          <a:off x="4583339" y="523246"/>
          <a:ext cx="523282" cy="15625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High ($140/t)</a:t>
          </a:r>
        </a:p>
      </cdr:txBody>
    </cdr:sp>
  </cdr:relSizeAnchor>
  <cdr:relSizeAnchor xmlns:cdr="http://schemas.openxmlformats.org/drawingml/2006/chartDrawing">
    <cdr:from>
      <cdr:x>0.81286</cdr:x>
      <cdr:y>0.5204</cdr:y>
    </cdr:from>
    <cdr:to>
      <cdr:x>0.85506</cdr:x>
      <cdr:y>0.5612</cdr:y>
    </cdr:to>
    <cdr:sp macro="" textlink="">
      <cdr:nvSpPr>
        <cdr:cNvPr id="29" name="TextBox 20"/>
        <cdr:cNvSpPr txBox="1"/>
      </cdr:nvSpPr>
      <cdr:spPr>
        <a:xfrm xmlns:a="http://schemas.openxmlformats.org/drawingml/2006/main" rot="21449654">
          <a:off x="9236742" y="1631500"/>
          <a:ext cx="479533" cy="12791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High (20%)</a:t>
          </a:r>
        </a:p>
      </cdr:txBody>
    </cdr:sp>
  </cdr:relSizeAnchor>
  <cdr:relSizeAnchor xmlns:cdr="http://schemas.openxmlformats.org/drawingml/2006/chartDrawing">
    <cdr:from>
      <cdr:x>0.80287</cdr:x>
      <cdr:y>0.29918</cdr:y>
    </cdr:from>
    <cdr:to>
      <cdr:x>0.85605</cdr:x>
      <cdr:y>0.34811</cdr:y>
    </cdr:to>
    <cdr:sp macro="" textlink="">
      <cdr:nvSpPr>
        <cdr:cNvPr id="30" name="TextBox 20"/>
        <cdr:cNvSpPr txBox="1"/>
      </cdr:nvSpPr>
      <cdr:spPr>
        <a:xfrm xmlns:a="http://schemas.openxmlformats.org/drawingml/2006/main" rot="262745">
          <a:off x="9123249" y="937959"/>
          <a:ext cx="604323" cy="15340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Low (0%)</a:t>
          </a:r>
        </a:p>
      </cdr:txBody>
    </cdr:sp>
  </cdr:relSizeAnchor>
  <cdr:relSizeAnchor xmlns:cdr="http://schemas.openxmlformats.org/drawingml/2006/chartDrawing">
    <cdr:from>
      <cdr:x>0.49796</cdr:x>
      <cdr:y>0.48022</cdr:y>
    </cdr:from>
    <cdr:to>
      <cdr:x>0.54647</cdr:x>
      <cdr:y>0.51836</cdr:y>
    </cdr:to>
    <cdr:sp macro="" textlink="">
      <cdr:nvSpPr>
        <cdr:cNvPr id="33" name="TextBox 20"/>
        <cdr:cNvSpPr txBox="1"/>
      </cdr:nvSpPr>
      <cdr:spPr>
        <a:xfrm xmlns:a="http://schemas.openxmlformats.org/drawingml/2006/main">
          <a:off x="5658531" y="1505545"/>
          <a:ext cx="551235" cy="11957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Low ($0/gal)</a:t>
          </a:r>
        </a:p>
      </cdr:txBody>
    </cdr:sp>
  </cdr:relSizeAnchor>
  <cdr:relSizeAnchor xmlns:cdr="http://schemas.openxmlformats.org/drawingml/2006/chartDrawing">
    <cdr:from>
      <cdr:x>0.4941</cdr:x>
      <cdr:y>0.3391</cdr:y>
    </cdr:from>
    <cdr:to>
      <cdr:x>0.5426</cdr:x>
      <cdr:y>0.37724</cdr:y>
    </cdr:to>
    <cdr:sp macro="" textlink="">
      <cdr:nvSpPr>
        <cdr:cNvPr id="34" name="TextBox 20"/>
        <cdr:cNvSpPr txBox="1"/>
      </cdr:nvSpPr>
      <cdr:spPr>
        <a:xfrm xmlns:a="http://schemas.openxmlformats.org/drawingml/2006/main" rot="538519">
          <a:off x="5614581" y="1063093"/>
          <a:ext cx="551122" cy="11957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High ($0.28/gal)</a:t>
          </a:r>
        </a:p>
      </cdr:txBody>
    </cdr:sp>
  </cdr:relSizeAnchor>
  <cdr:relSizeAnchor xmlns:cdr="http://schemas.openxmlformats.org/drawingml/2006/chartDrawing">
    <cdr:from>
      <cdr:x>0.5989</cdr:x>
      <cdr:y>0.33701</cdr:y>
    </cdr:from>
    <cdr:to>
      <cdr:x>0.6474</cdr:x>
      <cdr:y>0.37515</cdr:y>
    </cdr:to>
    <cdr:sp macro="" textlink="">
      <cdr:nvSpPr>
        <cdr:cNvPr id="35" name="TextBox 20"/>
        <cdr:cNvSpPr txBox="1"/>
      </cdr:nvSpPr>
      <cdr:spPr>
        <a:xfrm xmlns:a="http://schemas.openxmlformats.org/drawingml/2006/main" rot="571020">
          <a:off x="6805509" y="1056566"/>
          <a:ext cx="551121" cy="11957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High ($0.45/gal)</a:t>
          </a:r>
        </a:p>
      </cdr:txBody>
    </cdr:sp>
  </cdr:relSizeAnchor>
  <cdr:relSizeAnchor xmlns:cdr="http://schemas.openxmlformats.org/drawingml/2006/chartDrawing">
    <cdr:from>
      <cdr:x>0.59431</cdr:x>
      <cdr:y>0.48274</cdr:y>
    </cdr:from>
    <cdr:to>
      <cdr:x>0.66224</cdr:x>
      <cdr:y>0.5347</cdr:y>
    </cdr:to>
    <cdr:sp macro="" textlink="">
      <cdr:nvSpPr>
        <cdr:cNvPr id="36" name="TextBox 20"/>
        <cdr:cNvSpPr txBox="1"/>
      </cdr:nvSpPr>
      <cdr:spPr>
        <a:xfrm xmlns:a="http://schemas.openxmlformats.org/drawingml/2006/main">
          <a:off x="6753328" y="1513439"/>
          <a:ext cx="771971" cy="16288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Low ($0.07/gal)</a:t>
          </a:r>
        </a:p>
      </cdr:txBody>
    </cdr:sp>
  </cdr:relSizeAnchor>
  <cdr:relSizeAnchor xmlns:cdr="http://schemas.openxmlformats.org/drawingml/2006/chartDrawing">
    <cdr:from>
      <cdr:x>0.70169</cdr:x>
      <cdr:y>0.3407</cdr:y>
    </cdr:from>
    <cdr:to>
      <cdr:x>0.7502</cdr:x>
      <cdr:y>0.37885</cdr:y>
    </cdr:to>
    <cdr:sp macro="" textlink="">
      <cdr:nvSpPr>
        <cdr:cNvPr id="37" name="TextBox 20"/>
        <cdr:cNvSpPr txBox="1"/>
      </cdr:nvSpPr>
      <cdr:spPr>
        <a:xfrm xmlns:a="http://schemas.openxmlformats.org/drawingml/2006/main" rot="539826">
          <a:off x="7973543" y="1068122"/>
          <a:ext cx="551235" cy="11960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High ($0.16/gal)</a:t>
          </a:r>
        </a:p>
      </cdr:txBody>
    </cdr:sp>
  </cdr:relSizeAnchor>
  <cdr:relSizeAnchor xmlns:cdr="http://schemas.openxmlformats.org/drawingml/2006/chartDrawing">
    <cdr:from>
      <cdr:x>0.70355</cdr:x>
      <cdr:y>0.47158</cdr:y>
    </cdr:from>
    <cdr:to>
      <cdr:x>0.75205</cdr:x>
      <cdr:y>0.50973</cdr:y>
    </cdr:to>
    <cdr:sp macro="" textlink="">
      <cdr:nvSpPr>
        <cdr:cNvPr id="38" name="TextBox 20"/>
        <cdr:cNvSpPr txBox="1"/>
      </cdr:nvSpPr>
      <cdr:spPr>
        <a:xfrm xmlns:a="http://schemas.openxmlformats.org/drawingml/2006/main">
          <a:off x="7994712" y="1478438"/>
          <a:ext cx="551121" cy="11960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t>Low ($0/gal)</a:t>
          </a:r>
        </a:p>
      </cdr:txBody>
    </cdr:sp>
  </cdr:relSizeAnchor>
  <cdr:relSizeAnchor xmlns:cdr="http://schemas.openxmlformats.org/drawingml/2006/chartDrawing">
    <cdr:from>
      <cdr:x>0.88433</cdr:x>
      <cdr:y>0.73828</cdr:y>
    </cdr:from>
    <cdr:to>
      <cdr:x>0.97485</cdr:x>
      <cdr:y>0.73884</cdr:y>
    </cdr:to>
    <cdr:sp macro="" textlink="">
      <cdr:nvSpPr>
        <cdr:cNvPr id="43" name="Straight Connector 42"/>
        <cdr:cNvSpPr/>
      </cdr:nvSpPr>
      <cdr:spPr>
        <a:xfrm xmlns:a="http://schemas.openxmlformats.org/drawingml/2006/main">
          <a:off x="10048875" y="2314575"/>
          <a:ext cx="1028623" cy="1766"/>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75000"/>
            </a:sys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0.88433</cdr:x>
      <cdr:y>0.59549</cdr:y>
    </cdr:from>
    <cdr:to>
      <cdr:x>0.97485</cdr:x>
      <cdr:y>0.59605</cdr:y>
    </cdr:to>
    <cdr:sp macro="" textlink="">
      <cdr:nvSpPr>
        <cdr:cNvPr id="45" name="Straight Connector 44"/>
        <cdr:cNvSpPr/>
      </cdr:nvSpPr>
      <cdr:spPr>
        <a:xfrm xmlns:a="http://schemas.openxmlformats.org/drawingml/2006/main">
          <a:off x="10048875" y="1866900"/>
          <a:ext cx="1028623" cy="1766"/>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75000"/>
            </a:sys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0.88433</cdr:x>
      <cdr:y>0.27344</cdr:y>
    </cdr:from>
    <cdr:to>
      <cdr:x>0.97485</cdr:x>
      <cdr:y>0.274</cdr:y>
    </cdr:to>
    <cdr:sp macro="" textlink="">
      <cdr:nvSpPr>
        <cdr:cNvPr id="46" name="Straight Connector 45"/>
        <cdr:cNvSpPr/>
      </cdr:nvSpPr>
      <cdr:spPr>
        <a:xfrm xmlns:a="http://schemas.openxmlformats.org/drawingml/2006/main">
          <a:off x="10048875" y="857250"/>
          <a:ext cx="1028623" cy="1766"/>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75000"/>
            </a:sys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0.886</cdr:x>
      <cdr:y>0.13064</cdr:y>
    </cdr:from>
    <cdr:to>
      <cdr:x>0.97652</cdr:x>
      <cdr:y>0.13121</cdr:y>
    </cdr:to>
    <cdr:sp macro="" textlink="">
      <cdr:nvSpPr>
        <cdr:cNvPr id="47" name="Straight Connector 46"/>
        <cdr:cNvSpPr/>
      </cdr:nvSpPr>
      <cdr:spPr>
        <a:xfrm xmlns:a="http://schemas.openxmlformats.org/drawingml/2006/main">
          <a:off x="10067925" y="409575"/>
          <a:ext cx="1028623" cy="1766"/>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75000"/>
            </a:sys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drawings/drawing9.xml><?xml version="1.0" encoding="utf-8"?>
<c:userShapes xmlns:c="http://schemas.openxmlformats.org/drawingml/2006/chart">
  <cdr:relSizeAnchor xmlns:cdr="http://schemas.openxmlformats.org/drawingml/2006/chartDrawing">
    <cdr:from>
      <cdr:x>0.211</cdr:x>
      <cdr:y>0.2041</cdr:y>
    </cdr:from>
    <cdr:to>
      <cdr:x>0.21855</cdr:x>
      <cdr:y>0.4445</cdr:y>
    </cdr:to>
    <cdr:sp macro="" textlink="">
      <cdr:nvSpPr>
        <cdr:cNvPr id="2" name="TextBox 20"/>
        <cdr:cNvSpPr txBox="1"/>
      </cdr:nvSpPr>
      <cdr:spPr>
        <a:xfrm xmlns:a="http://schemas.openxmlformats.org/drawingml/2006/main" rot="18071179">
          <a:off x="2013829" y="998792"/>
          <a:ext cx="771666" cy="8435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95% worst (coal)</a:t>
          </a:r>
        </a:p>
      </cdr:txBody>
    </cdr:sp>
  </cdr:relSizeAnchor>
  <cdr:relSizeAnchor xmlns:cdr="http://schemas.openxmlformats.org/drawingml/2006/chartDrawing">
    <cdr:from>
      <cdr:x>0.17817</cdr:x>
      <cdr:y>0.48474</cdr:y>
    </cdr:from>
    <cdr:to>
      <cdr:x>0.24165</cdr:x>
      <cdr:y>0.52639</cdr:y>
    </cdr:to>
    <cdr:sp macro="" textlink="">
      <cdr:nvSpPr>
        <cdr:cNvPr id="3" name="TextBox 20"/>
        <cdr:cNvSpPr txBox="1"/>
      </cdr:nvSpPr>
      <cdr:spPr>
        <a:xfrm xmlns:a="http://schemas.openxmlformats.org/drawingml/2006/main" rot="1001772">
          <a:off x="1990630" y="1555989"/>
          <a:ext cx="709234" cy="13367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5% best (hydro)</a:t>
          </a:r>
        </a:p>
      </cdr:txBody>
    </cdr:sp>
  </cdr:relSizeAnchor>
  <cdr:relSizeAnchor xmlns:cdr="http://schemas.openxmlformats.org/drawingml/2006/chartDrawing">
    <cdr:from>
      <cdr:x>0.28515</cdr:x>
      <cdr:y>0.38912</cdr:y>
    </cdr:from>
    <cdr:to>
      <cdr:x>0.34656</cdr:x>
      <cdr:y>0.42702</cdr:y>
    </cdr:to>
    <cdr:sp macro="" textlink="">
      <cdr:nvSpPr>
        <cdr:cNvPr id="5" name="TextBox 20"/>
        <cdr:cNvSpPr txBox="1"/>
      </cdr:nvSpPr>
      <cdr:spPr>
        <a:xfrm xmlns:a="http://schemas.openxmlformats.org/drawingml/2006/main" rot="21217030">
          <a:off x="3185925" y="1249033"/>
          <a:ext cx="686107" cy="12166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95% worst</a:t>
          </a:r>
        </a:p>
      </cdr:txBody>
    </cdr:sp>
  </cdr:relSizeAnchor>
  <cdr:relSizeAnchor xmlns:cdr="http://schemas.openxmlformats.org/drawingml/2006/chartDrawing">
    <cdr:from>
      <cdr:x>0.28449</cdr:x>
      <cdr:y>0.46354</cdr:y>
    </cdr:from>
    <cdr:to>
      <cdr:x>0.32603</cdr:x>
      <cdr:y>0.50406</cdr:y>
    </cdr:to>
    <cdr:sp macro="" textlink="">
      <cdr:nvSpPr>
        <cdr:cNvPr id="6" name="TextBox 20"/>
        <cdr:cNvSpPr txBox="1"/>
      </cdr:nvSpPr>
      <cdr:spPr>
        <a:xfrm xmlns:a="http://schemas.openxmlformats.org/drawingml/2006/main" rot="21270274">
          <a:off x="3178555" y="1487942"/>
          <a:ext cx="464120" cy="13006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5% best</a:t>
          </a:r>
        </a:p>
      </cdr:txBody>
    </cdr:sp>
  </cdr:relSizeAnchor>
  <cdr:relSizeAnchor xmlns:cdr="http://schemas.openxmlformats.org/drawingml/2006/chartDrawing">
    <cdr:from>
      <cdr:x>0.37739</cdr:x>
      <cdr:y>0.35304</cdr:y>
    </cdr:from>
    <cdr:to>
      <cdr:x>0.41653</cdr:x>
      <cdr:y>0.39542</cdr:y>
    </cdr:to>
    <cdr:sp macro="" textlink="">
      <cdr:nvSpPr>
        <cdr:cNvPr id="7" name="TextBox 20"/>
        <cdr:cNvSpPr txBox="1"/>
      </cdr:nvSpPr>
      <cdr:spPr>
        <a:xfrm xmlns:a="http://schemas.openxmlformats.org/drawingml/2006/main" rot="1867887">
          <a:off x="4216544" y="1133240"/>
          <a:ext cx="437305" cy="13603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95% worst</a:t>
          </a:r>
        </a:p>
      </cdr:txBody>
    </cdr:sp>
  </cdr:relSizeAnchor>
  <cdr:relSizeAnchor xmlns:cdr="http://schemas.openxmlformats.org/drawingml/2006/chartDrawing">
    <cdr:from>
      <cdr:x>0.37216</cdr:x>
      <cdr:y>0.45104</cdr:y>
    </cdr:from>
    <cdr:to>
      <cdr:x>0.40341</cdr:x>
      <cdr:y>0.49211</cdr:y>
    </cdr:to>
    <cdr:sp macro="" textlink="">
      <cdr:nvSpPr>
        <cdr:cNvPr id="8" name="TextBox 20"/>
        <cdr:cNvSpPr txBox="1"/>
      </cdr:nvSpPr>
      <cdr:spPr>
        <a:xfrm xmlns:a="http://schemas.openxmlformats.org/drawingml/2006/main" rot="1608248">
          <a:off x="4158054" y="1447806"/>
          <a:ext cx="349150" cy="13183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5% best</a:t>
          </a:r>
        </a:p>
      </cdr:txBody>
    </cdr:sp>
  </cdr:relSizeAnchor>
  <cdr:relSizeAnchor xmlns:cdr="http://schemas.openxmlformats.org/drawingml/2006/chartDrawing">
    <cdr:from>
      <cdr:x>0.488</cdr:x>
      <cdr:y>0.38221</cdr:y>
    </cdr:from>
    <cdr:to>
      <cdr:x>0.52714</cdr:x>
      <cdr:y>0.42459</cdr:y>
    </cdr:to>
    <cdr:sp macro="" textlink="">
      <cdr:nvSpPr>
        <cdr:cNvPr id="9" name="TextBox 20"/>
        <cdr:cNvSpPr txBox="1"/>
      </cdr:nvSpPr>
      <cdr:spPr>
        <a:xfrm xmlns:a="http://schemas.openxmlformats.org/drawingml/2006/main" rot="668713">
          <a:off x="5452299" y="1226857"/>
          <a:ext cx="437304" cy="13603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95% worst</a:t>
          </a:r>
        </a:p>
      </cdr:txBody>
    </cdr:sp>
  </cdr:relSizeAnchor>
  <cdr:relSizeAnchor xmlns:cdr="http://schemas.openxmlformats.org/drawingml/2006/chartDrawing">
    <cdr:from>
      <cdr:x>0.47607</cdr:x>
      <cdr:y>0.45737</cdr:y>
    </cdr:from>
    <cdr:to>
      <cdr:x>0.51192</cdr:x>
      <cdr:y>0.49928</cdr:y>
    </cdr:to>
    <cdr:sp macro="" textlink="">
      <cdr:nvSpPr>
        <cdr:cNvPr id="10" name="TextBox 20"/>
        <cdr:cNvSpPr txBox="1"/>
      </cdr:nvSpPr>
      <cdr:spPr>
        <a:xfrm xmlns:a="http://schemas.openxmlformats.org/drawingml/2006/main" rot="748821">
          <a:off x="5319005" y="1468116"/>
          <a:ext cx="400546" cy="13452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5% best</a:t>
          </a:r>
        </a:p>
      </cdr:txBody>
    </cdr:sp>
  </cdr:relSizeAnchor>
  <cdr:relSizeAnchor xmlns:cdr="http://schemas.openxmlformats.org/drawingml/2006/chartDrawing">
    <cdr:from>
      <cdr:x>0.7173</cdr:x>
      <cdr:y>0.38091</cdr:y>
    </cdr:from>
    <cdr:to>
      <cdr:x>0.76317</cdr:x>
      <cdr:y>0.43768</cdr:y>
    </cdr:to>
    <cdr:sp macro="" textlink="">
      <cdr:nvSpPr>
        <cdr:cNvPr id="11" name="TextBox 20"/>
        <cdr:cNvSpPr txBox="1"/>
      </cdr:nvSpPr>
      <cdr:spPr>
        <a:xfrm xmlns:a="http://schemas.openxmlformats.org/drawingml/2006/main" rot="19989427">
          <a:off x="8014259" y="1222690"/>
          <a:ext cx="512561" cy="18223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95% worst</a:t>
          </a:r>
        </a:p>
      </cdr:txBody>
    </cdr:sp>
  </cdr:relSizeAnchor>
  <cdr:relSizeAnchor xmlns:cdr="http://schemas.openxmlformats.org/drawingml/2006/chartDrawing">
    <cdr:from>
      <cdr:x>0.72229</cdr:x>
      <cdr:y>0.44311</cdr:y>
    </cdr:from>
    <cdr:to>
      <cdr:x>0.76512</cdr:x>
      <cdr:y>0.49402</cdr:y>
    </cdr:to>
    <cdr:sp macro="" textlink="">
      <cdr:nvSpPr>
        <cdr:cNvPr id="12" name="TextBox 20"/>
        <cdr:cNvSpPr txBox="1"/>
      </cdr:nvSpPr>
      <cdr:spPr>
        <a:xfrm xmlns:a="http://schemas.openxmlformats.org/drawingml/2006/main" rot="20175291">
          <a:off x="8070025" y="1422343"/>
          <a:ext cx="478564" cy="1634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5% best</a:t>
          </a:r>
        </a:p>
      </cdr:txBody>
    </cdr:sp>
  </cdr:relSizeAnchor>
  <cdr:relSizeAnchor xmlns:cdr="http://schemas.openxmlformats.org/drawingml/2006/chartDrawing">
    <cdr:from>
      <cdr:x>0.81653</cdr:x>
      <cdr:y>0.37213</cdr:y>
    </cdr:from>
    <cdr:to>
      <cdr:x>0.86371</cdr:x>
      <cdr:y>0.41556</cdr:y>
    </cdr:to>
    <cdr:sp macro="" textlink="">
      <cdr:nvSpPr>
        <cdr:cNvPr id="13" name="TextBox 20"/>
        <cdr:cNvSpPr txBox="1"/>
      </cdr:nvSpPr>
      <cdr:spPr>
        <a:xfrm xmlns:a="http://schemas.openxmlformats.org/drawingml/2006/main" rot="19390964">
          <a:off x="9122954" y="1194508"/>
          <a:ext cx="527147" cy="13939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95% worst</a:t>
          </a:r>
        </a:p>
      </cdr:txBody>
    </cdr:sp>
  </cdr:relSizeAnchor>
  <cdr:relSizeAnchor xmlns:cdr="http://schemas.openxmlformats.org/drawingml/2006/chartDrawing">
    <cdr:from>
      <cdr:x>0.81577</cdr:x>
      <cdr:y>0.49196</cdr:y>
    </cdr:from>
    <cdr:to>
      <cdr:x>0.85788</cdr:x>
      <cdr:y>0.53456</cdr:y>
    </cdr:to>
    <cdr:sp macro="" textlink="">
      <cdr:nvSpPr>
        <cdr:cNvPr id="14" name="TextBox 20"/>
        <cdr:cNvSpPr txBox="1"/>
      </cdr:nvSpPr>
      <cdr:spPr>
        <a:xfrm xmlns:a="http://schemas.openxmlformats.org/drawingml/2006/main" rot="21168929">
          <a:off x="9114500" y="1579170"/>
          <a:ext cx="470471" cy="13671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5% best</a:t>
          </a:r>
        </a:p>
      </cdr:txBody>
    </cdr:sp>
  </cdr:relSizeAnchor>
  <cdr:relSizeAnchor xmlns:cdr="http://schemas.openxmlformats.org/drawingml/2006/chartDrawing">
    <cdr:from>
      <cdr:x>0.93462</cdr:x>
      <cdr:y>0.37538</cdr:y>
    </cdr:from>
    <cdr:to>
      <cdr:x>0.95822</cdr:x>
      <cdr:y>0.40873</cdr:y>
    </cdr:to>
    <cdr:sp macro="" textlink="">
      <cdr:nvSpPr>
        <cdr:cNvPr id="17" name="TextBox 20"/>
        <cdr:cNvSpPr txBox="1"/>
      </cdr:nvSpPr>
      <cdr:spPr>
        <a:xfrm xmlns:a="http://schemas.openxmlformats.org/drawingml/2006/main" rot="19002361">
          <a:off x="10442342" y="1204956"/>
          <a:ext cx="263695" cy="10703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Coal</a:t>
          </a:r>
        </a:p>
      </cdr:txBody>
    </cdr:sp>
  </cdr:relSizeAnchor>
  <cdr:relSizeAnchor xmlns:cdr="http://schemas.openxmlformats.org/drawingml/2006/chartDrawing">
    <cdr:from>
      <cdr:x>0.92362</cdr:x>
      <cdr:y>0.4843</cdr:y>
    </cdr:from>
    <cdr:to>
      <cdr:x>0.96034</cdr:x>
      <cdr:y>0.52024</cdr:y>
    </cdr:to>
    <cdr:sp macro="" textlink="">
      <cdr:nvSpPr>
        <cdr:cNvPr id="18" name="TextBox 20"/>
        <cdr:cNvSpPr txBox="1"/>
      </cdr:nvSpPr>
      <cdr:spPr>
        <a:xfrm xmlns:a="http://schemas.openxmlformats.org/drawingml/2006/main" rot="21234335">
          <a:off x="10319474" y="1554553"/>
          <a:ext cx="410236" cy="11537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Hydro</a:t>
          </a:r>
        </a:p>
      </cdr:txBody>
    </cdr:sp>
  </cdr:relSizeAnchor>
  <cdr:relSizeAnchor xmlns:cdr="http://schemas.openxmlformats.org/drawingml/2006/chartDrawing">
    <cdr:from>
      <cdr:x>0.5816</cdr:x>
      <cdr:y>0.45775</cdr:y>
    </cdr:from>
    <cdr:to>
      <cdr:x>0.64139</cdr:x>
      <cdr:y>0.49826</cdr:y>
    </cdr:to>
    <cdr:sp macro="" textlink="">
      <cdr:nvSpPr>
        <cdr:cNvPr id="31" name="TextBox 20"/>
        <cdr:cNvSpPr txBox="1"/>
      </cdr:nvSpPr>
      <cdr:spPr>
        <a:xfrm xmlns:a="http://schemas.openxmlformats.org/drawingml/2006/main" rot="201044">
          <a:off x="6498154" y="1469333"/>
          <a:ext cx="668012" cy="13003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0% oil</a:t>
          </a:r>
          <a:r>
            <a:rPr lang="en-US" sz="800" baseline="0"/>
            <a:t> sands</a:t>
          </a:r>
          <a:endParaRPr lang="en-US" sz="800"/>
        </a:p>
      </cdr:txBody>
    </cdr:sp>
  </cdr:relSizeAnchor>
  <cdr:relSizeAnchor xmlns:cdr="http://schemas.openxmlformats.org/drawingml/2006/chartDrawing">
    <cdr:from>
      <cdr:x>0.58659</cdr:x>
      <cdr:y>0.37072</cdr:y>
    </cdr:from>
    <cdr:to>
      <cdr:x>0.65719</cdr:x>
      <cdr:y>0.40066</cdr:y>
    </cdr:to>
    <cdr:sp macro="" textlink="">
      <cdr:nvSpPr>
        <cdr:cNvPr id="32" name="TextBox 20"/>
        <cdr:cNvSpPr txBox="1"/>
      </cdr:nvSpPr>
      <cdr:spPr>
        <a:xfrm xmlns:a="http://schemas.openxmlformats.org/drawingml/2006/main" rot="181121">
          <a:off x="6553878" y="1189979"/>
          <a:ext cx="788834" cy="9609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t>100% oil</a:t>
          </a:r>
          <a:r>
            <a:rPr lang="en-US" sz="800" baseline="0"/>
            <a:t> sands</a:t>
          </a:r>
          <a:endParaRPr lang="en-US" sz="800"/>
        </a:p>
      </cdr:txBody>
    </cdr:sp>
  </cdr:relSizeAnchor>
</c:userShapes>
</file>

<file path=xl/drawings/drawing10.xml><?xml version="1.0" encoding="utf-8"?>
<xdr:wsDr xmlns:xdr="http://schemas.openxmlformats.org/drawingml/2006/spreadsheetDrawing" xmlns:a="http://schemas.openxmlformats.org/drawingml/2006/main">
  <xdr:twoCellAnchor>
    <xdr:from>
      <xdr:col>2</xdr:col>
      <xdr:colOff>309562</xdr:colOff>
      <xdr:row>23</xdr:row>
      <xdr:rowOff>19051</xdr:rowOff>
    </xdr:from>
    <xdr:to>
      <xdr:col>9</xdr:col>
      <xdr:colOff>19049</xdr:colOff>
      <xdr:row>37</xdr:row>
      <xdr:rowOff>107157</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514351</xdr:colOff>
      <xdr:row>23</xdr:row>
      <xdr:rowOff>66675</xdr:rowOff>
    </xdr:from>
    <xdr:to>
      <xdr:col>22</xdr:col>
      <xdr:colOff>798635</xdr:colOff>
      <xdr:row>39</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152400</xdr:colOff>
      <xdr:row>40</xdr:row>
      <xdr:rowOff>66675</xdr:rowOff>
    </xdr:from>
    <xdr:to>
      <xdr:col>14</xdr:col>
      <xdr:colOff>400050</xdr:colOff>
      <xdr:row>65</xdr:row>
      <xdr:rowOff>57150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180974</xdr:colOff>
      <xdr:row>66</xdr:row>
      <xdr:rowOff>171450</xdr:rowOff>
    </xdr:from>
    <xdr:to>
      <xdr:col>19</xdr:col>
      <xdr:colOff>66675</xdr:colOff>
      <xdr:row>91</xdr:row>
      <xdr:rowOff>161925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61695</xdr:colOff>
      <xdr:row>106</xdr:row>
      <xdr:rowOff>23812</xdr:rowOff>
    </xdr:from>
    <xdr:to>
      <xdr:col>13</xdr:col>
      <xdr:colOff>490803</xdr:colOff>
      <xdr:row>122</xdr:row>
      <xdr:rowOff>156106</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571501</xdr:colOff>
      <xdr:row>94</xdr:row>
      <xdr:rowOff>0</xdr:rowOff>
    </xdr:from>
    <xdr:to>
      <xdr:col>28</xdr:col>
      <xdr:colOff>355601</xdr:colOff>
      <xdr:row>150</xdr:row>
      <xdr:rowOff>114300</xdr:rowOff>
    </xdr:to>
    <xdr:grpSp>
      <xdr:nvGrpSpPr>
        <xdr:cNvPr id="46" name="Group 45"/>
        <xdr:cNvGrpSpPr/>
      </xdr:nvGrpSpPr>
      <xdr:grpSpPr>
        <a:xfrm>
          <a:off x="9307287" y="18138321"/>
          <a:ext cx="11173278" cy="10782300"/>
          <a:chOff x="12311063" y="16692563"/>
          <a:chExt cx="11214100" cy="10782300"/>
        </a:xfrm>
      </xdr:grpSpPr>
      <xdr:pic>
        <xdr:nvPicPr>
          <xdr:cNvPr id="39" name="Picture 38" descr="PolicyBriefFig2.jpg"/>
          <xdr:cNvPicPr>
            <a:picLocks noChangeAspect="1"/>
          </xdr:cNvPicPr>
        </xdr:nvPicPr>
        <xdr:blipFill>
          <a:blip xmlns:r="http://schemas.openxmlformats.org/officeDocument/2006/relationships" r:embed="rId6" cstate="print"/>
          <a:stretch>
            <a:fillRect/>
          </a:stretch>
        </xdr:blipFill>
        <xdr:spPr>
          <a:xfrm>
            <a:off x="12311063" y="16692563"/>
            <a:ext cx="11214100" cy="10782300"/>
          </a:xfrm>
          <a:prstGeom prst="rect">
            <a:avLst/>
          </a:prstGeom>
        </xdr:spPr>
      </xdr:pic>
      <xdr:cxnSp macro="">
        <xdr:nvCxnSpPr>
          <xdr:cNvPr id="40" name="Straight Connector 39"/>
          <xdr:cNvCxnSpPr/>
        </xdr:nvCxnSpPr>
        <xdr:spPr>
          <a:xfrm flipH="1">
            <a:off x="19907250" y="19294476"/>
            <a:ext cx="111126" cy="396875"/>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H="1">
            <a:off x="20034250" y="19294476"/>
            <a:ext cx="104776" cy="396875"/>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2" name="Straight Connector 41"/>
          <xdr:cNvCxnSpPr/>
        </xdr:nvCxnSpPr>
        <xdr:spPr>
          <a:xfrm flipH="1">
            <a:off x="19964400" y="19288126"/>
            <a:ext cx="104776" cy="396875"/>
          </a:xfrm>
          <a:prstGeom prst="line">
            <a:avLst/>
          </a:prstGeom>
          <a:ln w="88900">
            <a:solidFill>
              <a:schemeClr val="bg1">
                <a:lumMod val="9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H="1">
            <a:off x="20050125" y="22685376"/>
            <a:ext cx="111126" cy="396875"/>
          </a:xfrm>
          <a:prstGeom prst="line">
            <a:avLst/>
          </a:prstGeom>
          <a:ln w="381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flipH="1">
            <a:off x="20177125" y="22685376"/>
            <a:ext cx="114301" cy="396875"/>
          </a:xfrm>
          <a:prstGeom prst="line">
            <a:avLst/>
          </a:prstGeom>
          <a:ln w="381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a:xfrm flipH="1">
            <a:off x="20107275" y="22679026"/>
            <a:ext cx="95251" cy="396875"/>
          </a:xfrm>
          <a:prstGeom prst="line">
            <a:avLst/>
          </a:prstGeom>
          <a:ln w="88900">
            <a:solidFill>
              <a:schemeClr val="bg1">
                <a:lumMod val="9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c:userShapes xmlns:c="http://schemas.openxmlformats.org/drawingml/2006/chart">
  <cdr:relSizeAnchor xmlns:cdr="http://schemas.openxmlformats.org/drawingml/2006/chartDrawing">
    <cdr:from>
      <cdr:x>0.81407</cdr:x>
      <cdr:y>0.69949</cdr:y>
    </cdr:from>
    <cdr:to>
      <cdr:x>0.99106</cdr:x>
      <cdr:y>0.69949</cdr:y>
    </cdr:to>
    <cdr:cxnSp macro="">
      <cdr:nvCxnSpPr>
        <cdr:cNvPr id="2" name="Straight Connector 1"/>
        <cdr:cNvCxnSpPr/>
      </cdr:nvCxnSpPr>
      <cdr:spPr>
        <a:xfrm xmlns:a="http://schemas.openxmlformats.org/drawingml/2006/main">
          <a:off x="3336315" y="1927163"/>
          <a:ext cx="725365" cy="0"/>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75000"/>
            </a:sys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0.81765</cdr:x>
      <cdr:y>0.18622</cdr:y>
    </cdr:from>
    <cdr:to>
      <cdr:x>0.99464</cdr:x>
      <cdr:y>0.18622</cdr:y>
    </cdr:to>
    <cdr:cxnSp macro="">
      <cdr:nvCxnSpPr>
        <cdr:cNvPr id="3" name="Straight Connector 2"/>
        <cdr:cNvCxnSpPr/>
      </cdr:nvCxnSpPr>
      <cdr:spPr>
        <a:xfrm xmlns:a="http://schemas.openxmlformats.org/drawingml/2006/main">
          <a:off x="3350968" y="513067"/>
          <a:ext cx="725365" cy="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0.81553</cdr:x>
      <cdr:y>0.34337</cdr:y>
    </cdr:from>
    <cdr:to>
      <cdr:x>0.99252</cdr:x>
      <cdr:y>0.34337</cdr:y>
    </cdr:to>
    <cdr:cxnSp macro="">
      <cdr:nvCxnSpPr>
        <cdr:cNvPr id="4" name="Straight Connector 3"/>
        <cdr:cNvCxnSpPr/>
      </cdr:nvCxnSpPr>
      <cdr:spPr>
        <a:xfrm xmlns:a="http://schemas.openxmlformats.org/drawingml/2006/main">
          <a:off x="3336337" y="946011"/>
          <a:ext cx="724063" cy="0"/>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75000"/>
            </a:sys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0.72112</cdr:x>
      <cdr:y>0.10911</cdr:y>
    </cdr:from>
    <cdr:to>
      <cdr:x>0.9811</cdr:x>
      <cdr:y>0.10911</cdr:y>
    </cdr:to>
    <cdr:sp macro="" textlink="">
      <cdr:nvSpPr>
        <cdr:cNvPr id="18" name="Straight Connector 17"/>
        <cdr:cNvSpPr/>
      </cdr:nvSpPr>
      <cdr:spPr>
        <a:xfrm xmlns:a="http://schemas.openxmlformats.org/drawingml/2006/main">
          <a:off x="3767758" y="376445"/>
          <a:ext cx="1358348" cy="0"/>
        </a:xfrm>
        <a:prstGeom xmlns:a="http://schemas.openxmlformats.org/drawingml/2006/main" prst="line">
          <a:avLst/>
        </a:prstGeom>
        <a:ln xmlns:a="http://schemas.openxmlformats.org/drawingml/2006/main">
          <a:solidFill>
            <a:schemeClr val="bg1">
              <a:lumMod val="8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0.71954</cdr:x>
      <cdr:y>0.54601</cdr:y>
    </cdr:from>
    <cdr:to>
      <cdr:x>0.97951</cdr:x>
      <cdr:y>0.54601</cdr:y>
    </cdr:to>
    <cdr:sp macro="" textlink="">
      <cdr:nvSpPr>
        <cdr:cNvPr id="19" name="Straight Connector 18"/>
        <cdr:cNvSpPr/>
      </cdr:nvSpPr>
      <cdr:spPr>
        <a:xfrm xmlns:a="http://schemas.openxmlformats.org/drawingml/2006/main">
          <a:off x="3759475" y="1883879"/>
          <a:ext cx="1358348" cy="0"/>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85000"/>
            </a:sys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0.71954</cdr:x>
      <cdr:y>0.20393</cdr:y>
    </cdr:from>
    <cdr:to>
      <cdr:x>0.97951</cdr:x>
      <cdr:y>0.20393</cdr:y>
    </cdr:to>
    <cdr:sp macro="" textlink="">
      <cdr:nvSpPr>
        <cdr:cNvPr id="20" name="Straight Connector 19"/>
        <cdr:cNvSpPr/>
      </cdr:nvSpPr>
      <cdr:spPr>
        <a:xfrm xmlns:a="http://schemas.openxmlformats.org/drawingml/2006/main">
          <a:off x="3759475" y="703608"/>
          <a:ext cx="1358348" cy="0"/>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85000"/>
            </a:sys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13.xml><?xml version="1.0" encoding="utf-8"?>
<c:userShapes xmlns:c="http://schemas.openxmlformats.org/drawingml/2006/chart">
  <cdr:relSizeAnchor xmlns:cdr="http://schemas.openxmlformats.org/drawingml/2006/chartDrawing">
    <cdr:from>
      <cdr:x>0.66098</cdr:x>
      <cdr:y>0.67335</cdr:y>
    </cdr:from>
    <cdr:to>
      <cdr:x>0.87317</cdr:x>
      <cdr:y>0.70974</cdr:y>
    </cdr:to>
    <cdr:sp macro="" textlink="">
      <cdr:nvSpPr>
        <cdr:cNvPr id="2" name="TextBox 4"/>
        <cdr:cNvSpPr txBox="1"/>
      </cdr:nvSpPr>
      <cdr:spPr>
        <a:xfrm xmlns:a="http://schemas.openxmlformats.org/drawingml/2006/main">
          <a:off x="2581275" y="3200400"/>
          <a:ext cx="828675" cy="17299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PHEV</a:t>
          </a:r>
          <a:r>
            <a:rPr lang="en-US" sz="1200" b="1" baseline="-25000"/>
            <a:t>60km</a:t>
          </a:r>
        </a:p>
      </cdr:txBody>
    </cdr:sp>
  </cdr:relSizeAnchor>
  <cdr:relSizeAnchor xmlns:cdr="http://schemas.openxmlformats.org/drawingml/2006/chartDrawing">
    <cdr:from>
      <cdr:x>0.59331</cdr:x>
      <cdr:y>0.59883</cdr:y>
    </cdr:from>
    <cdr:to>
      <cdr:x>0.69331</cdr:x>
      <cdr:y>0.6329</cdr:y>
    </cdr:to>
    <cdr:sp macro="" textlink="">
      <cdr:nvSpPr>
        <cdr:cNvPr id="3" name="TextBox 4"/>
        <cdr:cNvSpPr txBox="1"/>
      </cdr:nvSpPr>
      <cdr:spPr>
        <a:xfrm xmlns:a="http://schemas.openxmlformats.org/drawingml/2006/main">
          <a:off x="2304704" y="2846242"/>
          <a:ext cx="388447" cy="16193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000">
              <a:solidFill>
                <a:schemeClr val="bg1">
                  <a:lumMod val="65000"/>
                </a:schemeClr>
              </a:solidFill>
            </a:rPr>
            <a:t>Hydro</a:t>
          </a:r>
        </a:p>
      </cdr:txBody>
    </cdr:sp>
  </cdr:relSizeAnchor>
  <cdr:relSizeAnchor xmlns:cdr="http://schemas.openxmlformats.org/drawingml/2006/chartDrawing">
    <cdr:from>
      <cdr:x>0.60795</cdr:x>
      <cdr:y>0.76991</cdr:y>
    </cdr:from>
    <cdr:to>
      <cdr:x>0.68355</cdr:x>
      <cdr:y>0.80398</cdr:y>
    </cdr:to>
    <cdr:sp macro="" textlink="">
      <cdr:nvSpPr>
        <cdr:cNvPr id="4" name="TextBox 4"/>
        <cdr:cNvSpPr txBox="1"/>
      </cdr:nvSpPr>
      <cdr:spPr>
        <a:xfrm xmlns:a="http://schemas.openxmlformats.org/drawingml/2006/main">
          <a:off x="2361571" y="3659345"/>
          <a:ext cx="293666" cy="16193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000">
              <a:solidFill>
                <a:schemeClr val="bg1">
                  <a:lumMod val="65000"/>
                </a:schemeClr>
              </a:solidFill>
            </a:rPr>
            <a:t>Coal</a:t>
          </a:r>
        </a:p>
      </cdr:txBody>
    </cdr:sp>
  </cdr:relSizeAnchor>
  <cdr:relSizeAnchor xmlns:cdr="http://schemas.openxmlformats.org/drawingml/2006/chartDrawing">
    <cdr:from>
      <cdr:x>0.56585</cdr:x>
      <cdr:y>0.1483</cdr:y>
    </cdr:from>
    <cdr:to>
      <cdr:x>0.70732</cdr:x>
      <cdr:y>0.22974</cdr:y>
    </cdr:to>
    <cdr:sp macro="" textlink="">
      <cdr:nvSpPr>
        <cdr:cNvPr id="5" name="TextBox 4"/>
        <cdr:cNvSpPr txBox="1">
          <a:spLocks xmlns:a="http://schemas.openxmlformats.org/drawingml/2006/main" noChangeArrowheads="1"/>
        </cdr:cNvSpPr>
      </cdr:nvSpPr>
      <cdr:spPr bwMode="auto">
        <a:xfrm xmlns:a="http://schemas.openxmlformats.org/drawingml/2006/main">
          <a:off x="2209800" y="704850"/>
          <a:ext cx="552450" cy="3871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lc="http://schemas.openxmlformats.org/drawingml/2006/lockedCanvas" xmlns:r="http://schemas.openxmlformats.org/officeDocument/2006/relationships" xmlns:p="http://schemas.openxmlformats.org/presentationml/2006/main" xmlns:a14="http://schemas.microsoft.com/office/drawing/2010/main" xmlns="">
              <a:solidFill>
                <a:srgbClr val="FFFFFF"/>
              </a:solidFill>
            </a14:hiddenFill>
          </a:ext>
          <a:ext uri="{91240B29-F687-4F45-9708-019B960494DF}">
            <a14:hiddenLine xmlns:lc="http://schemas.openxmlformats.org/drawingml/2006/lockedCanvas" xmlns:r="http://schemas.openxmlformats.org/officeDocument/2006/relationships" xmlns:p="http://schemas.openxmlformats.org/presentationml/2006/main" xmlns:a14="http://schemas.microsoft.com/office/drawing/2010/main" xmlns="" w="9525">
              <a:solidFill>
                <a:srgbClr val="000000"/>
              </a:solidFill>
              <a:miter lim="800000"/>
              <a:headEnd/>
              <a:tailEnd/>
            </a14:hiddenLine>
          </a:ext>
        </a:extLst>
      </cdr:spPr>
      <cdr:txBody>
        <a:bodyPr xmlns:a="http://schemas.openxmlformats.org/drawingml/2006/main" wrap="square">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eaLnBrk="1" hangingPunct="1">
            <a:spcBef>
              <a:spcPct val="20000"/>
            </a:spcBef>
            <a:spcAft>
              <a:spcPct val="25000"/>
            </a:spcAft>
            <a:buClr>
              <a:sysClr val="windowText" lastClr="000000"/>
            </a:buClr>
            <a:buFont typeface="Wingdings" pitchFamily="2" charset="2"/>
            <a:buNone/>
          </a:pPr>
          <a:r>
            <a:rPr lang="en-US" sz="1200" b="1"/>
            <a:t>GM</a:t>
          </a:r>
          <a:br>
            <a:rPr lang="en-US" sz="1200" b="1"/>
          </a:br>
          <a:r>
            <a:rPr lang="en-US" sz="1200" b="1"/>
            <a:t>Volt</a:t>
          </a:r>
        </a:p>
      </cdr:txBody>
    </cdr:sp>
  </cdr:relSizeAnchor>
  <cdr:relSizeAnchor xmlns:cdr="http://schemas.openxmlformats.org/drawingml/2006/chartDrawing">
    <cdr:from>
      <cdr:x>0.18781</cdr:x>
      <cdr:y>0.1493</cdr:y>
    </cdr:from>
    <cdr:to>
      <cdr:x>0.42195</cdr:x>
      <cdr:y>0.20825</cdr:y>
    </cdr:to>
    <cdr:sp macro="" textlink="">
      <cdr:nvSpPr>
        <cdr:cNvPr id="6" name="TextBox 5"/>
        <cdr:cNvSpPr txBox="1">
          <a:spLocks xmlns:a="http://schemas.openxmlformats.org/drawingml/2006/main" noChangeArrowheads="1"/>
        </cdr:cNvSpPr>
      </cdr:nvSpPr>
      <cdr:spPr bwMode="auto">
        <a:xfrm xmlns:a="http://schemas.openxmlformats.org/drawingml/2006/main">
          <a:off x="733426" y="709613"/>
          <a:ext cx="914400" cy="2802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lc="http://schemas.openxmlformats.org/drawingml/2006/lockedCanvas" xmlns:r="http://schemas.openxmlformats.org/officeDocument/2006/relationships" xmlns:p="http://schemas.openxmlformats.org/presentationml/2006/main" xmlns:a14="http://schemas.microsoft.com/office/drawing/2010/main" xmlns="">
              <a:solidFill>
                <a:srgbClr val="FFFFFF"/>
              </a:solidFill>
            </a14:hiddenFill>
          </a:ext>
          <a:ext uri="{91240B29-F687-4F45-9708-019B960494DF}">
            <a14:hiddenLine xmlns:lc="http://schemas.openxmlformats.org/drawingml/2006/lockedCanvas" xmlns:r="http://schemas.openxmlformats.org/officeDocument/2006/relationships" xmlns:p="http://schemas.openxmlformats.org/presentationml/2006/main" xmlns:a14="http://schemas.microsoft.com/office/drawing/2010/main" xmlns="" w="9525">
              <a:solidFill>
                <a:srgbClr val="000000"/>
              </a:solidFill>
              <a:miter lim="800000"/>
              <a:headEnd/>
              <a:tailEnd/>
            </a14:hiddenLine>
          </a:ext>
        </a:extLst>
      </cdr:spPr>
      <cdr:txBody>
        <a:bodyPr xmlns:a="http://schemas.openxmlformats.org/drawingml/2006/main" wrap="square">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eaLnBrk="1" hangingPunct="1">
            <a:spcBef>
              <a:spcPct val="20000"/>
            </a:spcBef>
            <a:spcAft>
              <a:spcPct val="25000"/>
            </a:spcAft>
            <a:buClr>
              <a:sysClr val="windowText" lastClr="000000"/>
            </a:buClr>
            <a:buFont typeface="Wingdings" pitchFamily="2" charset="2"/>
            <a:buNone/>
          </a:pPr>
          <a:r>
            <a:rPr lang="en-US" sz="1200" b="1"/>
            <a:t>Toyota Prius PHEV</a:t>
          </a:r>
        </a:p>
      </cdr:txBody>
    </cdr:sp>
  </cdr:relSizeAnchor>
  <cdr:relSizeAnchor xmlns:cdr="http://schemas.openxmlformats.org/drawingml/2006/chartDrawing">
    <cdr:from>
      <cdr:x>0.7752</cdr:x>
      <cdr:y>0.14863</cdr:y>
    </cdr:from>
    <cdr:to>
      <cdr:x>0.94146</cdr:x>
      <cdr:y>0.20758</cdr:y>
    </cdr:to>
    <cdr:sp macro="" textlink="">
      <cdr:nvSpPr>
        <cdr:cNvPr id="7" name="TextBox 16"/>
        <cdr:cNvSpPr txBox="1">
          <a:spLocks xmlns:a="http://schemas.openxmlformats.org/drawingml/2006/main" noChangeArrowheads="1"/>
        </cdr:cNvSpPr>
      </cdr:nvSpPr>
      <cdr:spPr bwMode="auto">
        <a:xfrm xmlns:a="http://schemas.openxmlformats.org/drawingml/2006/main">
          <a:off x="3027363" y="706438"/>
          <a:ext cx="649287" cy="2802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lc="http://schemas.openxmlformats.org/drawingml/2006/lockedCanvas" xmlns:r="http://schemas.openxmlformats.org/officeDocument/2006/relationships" xmlns:p="http://schemas.openxmlformats.org/presentationml/2006/main" xmlns:a14="http://schemas.microsoft.com/office/drawing/2010/main" xmlns="">
              <a:solidFill>
                <a:srgbClr val="FFFFFF"/>
              </a:solidFill>
            </a14:hiddenFill>
          </a:ext>
          <a:ext uri="{91240B29-F687-4F45-9708-019B960494DF}">
            <a14:hiddenLine xmlns:lc="http://schemas.openxmlformats.org/drawingml/2006/lockedCanvas" xmlns:r="http://schemas.openxmlformats.org/officeDocument/2006/relationships" xmlns:p="http://schemas.openxmlformats.org/presentationml/2006/main" xmlns:a14="http://schemas.microsoft.com/office/drawing/2010/main" xmlns="" w="9525">
              <a:solidFill>
                <a:srgbClr val="000000"/>
              </a:solidFill>
              <a:miter lim="800000"/>
              <a:headEnd/>
              <a:tailEnd/>
            </a14:hiddenLine>
          </a:ext>
        </a:extLst>
      </cdr:spPr>
      <cdr:txBody>
        <a:bodyPr xmlns:a="http://schemas.openxmlformats.org/drawingml/2006/main" wrap="square">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eaLnBrk="1" hangingPunct="1">
            <a:spcBef>
              <a:spcPct val="20000"/>
            </a:spcBef>
            <a:spcAft>
              <a:spcPct val="25000"/>
            </a:spcAft>
            <a:buClr>
              <a:sysClr val="windowText" lastClr="000000"/>
            </a:buClr>
            <a:buFont typeface="Wingdings" pitchFamily="2" charset="2"/>
            <a:buNone/>
          </a:pPr>
          <a:r>
            <a:rPr lang="en-US" sz="1200" b="1"/>
            <a:t>Nissan Leaf</a:t>
          </a:r>
        </a:p>
      </cdr:txBody>
    </cdr:sp>
  </cdr:relSizeAnchor>
  <cdr:relSizeAnchor xmlns:cdr="http://schemas.openxmlformats.org/drawingml/2006/chartDrawing">
    <cdr:from>
      <cdr:x>0.2</cdr:x>
      <cdr:y>0.0554</cdr:y>
    </cdr:from>
    <cdr:to>
      <cdr:x>0.4061</cdr:x>
      <cdr:y>0.15832</cdr:y>
    </cdr:to>
    <cdr:pic>
      <cdr:nvPicPr>
        <cdr:cNvPr id="8" name="Picture 7" descr="prius.jpg"/>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lc="http://schemas.openxmlformats.org/drawingml/2006/lockedCanvas" xmlns:p="http://schemas.openxmlformats.org/presentationml/2006/main" xmlns:a14="http://schemas.microsoft.com/office/drawing/2010/main" xmlns="" val="0"/>
            </a:ext>
          </a:extLst>
        </a:blip>
        <a:srcRect xmlns:a="http://schemas.openxmlformats.org/drawingml/2006/main"/>
        <a:stretch xmlns:a="http://schemas.openxmlformats.org/drawingml/2006/main">
          <a:fillRect/>
        </a:stretch>
      </cdr:blipFill>
      <cdr:spPr bwMode="auto">
        <a:xfrm xmlns:a="http://schemas.openxmlformats.org/drawingml/2006/main">
          <a:off x="781049" y="263317"/>
          <a:ext cx="804863" cy="4891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lc="http://schemas.openxmlformats.org/drawingml/2006/lockedCanvas" xmlns:r="http://schemas.openxmlformats.org/officeDocument/2006/relationships" xmlns:p="http://schemas.openxmlformats.org/presentationml/2006/main" xmlns:a14="http://schemas.microsoft.com/office/drawing/2010/main" xmlns="">
              <a:solidFill>
                <a:srgbClr val="FFFFFF"/>
              </a:solidFill>
            </a14:hiddenFill>
          </a:ext>
          <a:ext uri="{91240B29-F687-4F45-9708-019B960494DF}">
            <a14:hiddenLine xmlns:lc="http://schemas.openxmlformats.org/drawingml/2006/lockedCanvas" xmlns:r="http://schemas.openxmlformats.org/officeDocument/2006/relationships" xmlns:p="http://schemas.openxmlformats.org/presentationml/2006/main" xmlns:a14="http://schemas.microsoft.com/office/drawing/2010/main" xmlns="" w="9525">
              <a:solidFill>
                <a:srgbClr val="000000"/>
              </a:solidFill>
              <a:miter lim="800000"/>
              <a:headEnd/>
              <a:tailEnd/>
            </a14:hiddenLine>
          </a:ext>
        </a:extLst>
      </cdr:spPr>
    </cdr:pic>
  </cdr:relSizeAnchor>
  <cdr:relSizeAnchor xmlns:cdr="http://schemas.openxmlformats.org/drawingml/2006/chartDrawing">
    <cdr:from>
      <cdr:x>0.53415</cdr:x>
      <cdr:y>0.05561</cdr:y>
    </cdr:from>
    <cdr:to>
      <cdr:x>0.73049</cdr:x>
      <cdr:y>0.15832</cdr:y>
    </cdr:to>
    <cdr:pic>
      <cdr:nvPicPr>
        <cdr:cNvPr id="9" name="Picture 8" descr="gm-volt-5-photo01.jpg"/>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lc="http://schemas.openxmlformats.org/drawingml/2006/lockedCanvas" xmlns:p="http://schemas.openxmlformats.org/presentationml/2006/main" xmlns:a14="http://schemas.microsoft.com/office/drawing/2010/main" xmlns="" val="0"/>
            </a:ext>
          </a:extLst>
        </a:blip>
        <a:srcRect xmlns:a="http://schemas.openxmlformats.org/drawingml/2006/main"/>
        <a:stretch xmlns:a="http://schemas.openxmlformats.org/drawingml/2006/main">
          <a:fillRect/>
        </a:stretch>
      </cdr:blipFill>
      <cdr:spPr bwMode="auto">
        <a:xfrm xmlns:a="http://schemas.openxmlformats.org/drawingml/2006/main">
          <a:off x="2085975" y="264311"/>
          <a:ext cx="766763" cy="4881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lc="http://schemas.openxmlformats.org/drawingml/2006/lockedCanvas" xmlns:r="http://schemas.openxmlformats.org/officeDocument/2006/relationships" xmlns:p="http://schemas.openxmlformats.org/presentationml/2006/main" xmlns:a14="http://schemas.microsoft.com/office/drawing/2010/main" xmlns="">
              <a:solidFill>
                <a:srgbClr val="FFFFFF"/>
              </a:solidFill>
            </a14:hiddenFill>
          </a:ext>
          <a:ext uri="{91240B29-F687-4F45-9708-019B960494DF}">
            <a14:hiddenLine xmlns:lc="http://schemas.openxmlformats.org/drawingml/2006/lockedCanvas" xmlns:r="http://schemas.openxmlformats.org/officeDocument/2006/relationships" xmlns:p="http://schemas.openxmlformats.org/presentationml/2006/main" xmlns:a14="http://schemas.microsoft.com/office/drawing/2010/main" xmlns="" w="9525">
              <a:solidFill>
                <a:srgbClr val="000000"/>
              </a:solidFill>
              <a:miter lim="800000"/>
              <a:headEnd/>
              <a:tailEnd/>
            </a14:hiddenLine>
          </a:ext>
        </a:extLst>
      </cdr:spPr>
    </cdr:pic>
  </cdr:relSizeAnchor>
  <cdr:relSizeAnchor xmlns:cdr="http://schemas.openxmlformats.org/drawingml/2006/chartDrawing">
    <cdr:from>
      <cdr:x>0.76585</cdr:x>
      <cdr:y>0.05405</cdr:y>
    </cdr:from>
    <cdr:to>
      <cdr:x>0.93496</cdr:x>
      <cdr:y>0.15731</cdr:y>
    </cdr:to>
    <cdr:pic>
      <cdr:nvPicPr>
        <cdr:cNvPr id="10" name="Picture 9" descr="nissan-leaf.jpg"/>
        <cdr:cNvPicPr>
          <a:picLocks xmlns:a="http://schemas.openxmlformats.org/drawingml/2006/main" noChangeAspect="1"/>
        </cdr:cNvPicPr>
      </cdr:nvPicPr>
      <cdr:blipFill>
        <a:blip xmlns:a="http://schemas.openxmlformats.org/drawingml/2006/main" xmlns:r="http://schemas.openxmlformats.org/officeDocument/2006/relationships" r:embed="rId3" cstate="print">
          <a:extLst>
            <a:ext uri="{28A0092B-C50C-407E-A947-70E740481C1C}">
              <a14:useLocalDpi xmlns:lc="http://schemas.openxmlformats.org/drawingml/2006/lockedCanvas" xmlns:p="http://schemas.openxmlformats.org/presentationml/2006/main" xmlns:a14="http://schemas.microsoft.com/office/drawing/2010/main" xmlns="" val="0"/>
            </a:ext>
          </a:extLst>
        </a:blip>
        <a:srcRect xmlns:a="http://schemas.openxmlformats.org/drawingml/2006/main"/>
        <a:stretch xmlns:a="http://schemas.openxmlformats.org/drawingml/2006/main">
          <a:fillRect/>
        </a:stretch>
      </cdr:blipFill>
      <cdr:spPr bwMode="auto">
        <a:xfrm xmlns:a="http://schemas.openxmlformats.org/drawingml/2006/main">
          <a:off x="2990850" y="256891"/>
          <a:ext cx="660400" cy="4908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lc="http://schemas.openxmlformats.org/drawingml/2006/lockedCanvas" xmlns:r="http://schemas.openxmlformats.org/officeDocument/2006/relationships" xmlns:p="http://schemas.openxmlformats.org/presentationml/2006/main" xmlns:a14="http://schemas.microsoft.com/office/drawing/2010/main" xmlns="">
              <a:solidFill>
                <a:srgbClr val="FFFFFF"/>
              </a:solidFill>
            </a14:hiddenFill>
          </a:ext>
          <a:ext uri="{91240B29-F687-4F45-9708-019B960494DF}">
            <a14:hiddenLine xmlns:lc="http://schemas.openxmlformats.org/drawingml/2006/lockedCanvas" xmlns:r="http://schemas.openxmlformats.org/officeDocument/2006/relationships" xmlns:p="http://schemas.openxmlformats.org/presentationml/2006/main" xmlns:a14="http://schemas.microsoft.com/office/drawing/2010/main" xmlns="" w="9525">
              <a:solidFill>
                <a:srgbClr val="000000"/>
              </a:solidFill>
              <a:miter lim="800000"/>
              <a:headEnd/>
              <a:tailEnd/>
            </a14:hiddenLine>
          </a:ext>
        </a:extLst>
      </cdr:spPr>
    </cdr:pic>
  </cdr:relSizeAnchor>
  <cdr:relSizeAnchor xmlns:cdr="http://schemas.openxmlformats.org/drawingml/2006/chartDrawing">
    <cdr:from>
      <cdr:x>0.85589</cdr:x>
      <cdr:y>0.23664</cdr:y>
    </cdr:from>
    <cdr:to>
      <cdr:x>0.8563</cdr:x>
      <cdr:y>0.28674</cdr:y>
    </cdr:to>
    <cdr:sp macro="" textlink="">
      <cdr:nvSpPr>
        <cdr:cNvPr id="15" name="Straight Arrow Connector 14"/>
        <cdr:cNvSpPr/>
      </cdr:nvSpPr>
      <cdr:spPr>
        <a:xfrm xmlns:a="http://schemas.openxmlformats.org/drawingml/2006/main" rot="5400000">
          <a:off x="3224213" y="1243012"/>
          <a:ext cx="238126" cy="1589"/>
        </a:xfrm>
        <a:prstGeom xmlns:a="http://schemas.openxmlformats.org/drawingml/2006/main" prst="straightConnector1">
          <a:avLst/>
        </a:prstGeom>
        <a:ln xmlns:a="http://schemas.openxmlformats.org/drawingml/2006/main" w="254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0.64146</cdr:x>
      <cdr:y>0.23647</cdr:y>
    </cdr:from>
    <cdr:to>
      <cdr:x>0.64187</cdr:x>
      <cdr:y>0.28657</cdr:y>
    </cdr:to>
    <cdr:sp macro="" textlink="">
      <cdr:nvSpPr>
        <cdr:cNvPr id="16" name="Straight Arrow Connector 15"/>
        <cdr:cNvSpPr/>
      </cdr:nvSpPr>
      <cdr:spPr>
        <a:xfrm xmlns:a="http://schemas.openxmlformats.org/drawingml/2006/main" rot="5400000">
          <a:off x="2386807" y="1242225"/>
          <a:ext cx="238126" cy="1589"/>
        </a:xfrm>
        <a:prstGeom xmlns:a="http://schemas.openxmlformats.org/drawingml/2006/main" prst="straightConnector1">
          <a:avLst/>
        </a:prstGeom>
        <a:noFill xmlns:a="http://schemas.openxmlformats.org/drawingml/2006/main"/>
        <a:ln xmlns:a="http://schemas.openxmlformats.org/drawingml/2006/main" w="25400" cap="flat" cmpd="sng" algn="ctr">
          <a:solidFill>
            <a:sysClr val="windowText" lastClr="000000"/>
          </a:solidFill>
          <a:prstDash val="solid"/>
          <a:tailEnd type="triangle"/>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0.30244</cdr:x>
      <cdr:y>0.24048</cdr:y>
    </cdr:from>
    <cdr:to>
      <cdr:x>0.30488</cdr:x>
      <cdr:y>0.56112</cdr:y>
    </cdr:to>
    <cdr:sp macro="" textlink="">
      <cdr:nvSpPr>
        <cdr:cNvPr id="18" name="Straight Arrow Connector 17"/>
        <cdr:cNvSpPr/>
      </cdr:nvSpPr>
      <cdr:spPr>
        <a:xfrm xmlns:a="http://schemas.openxmlformats.org/drawingml/2006/main" rot="5400000">
          <a:off x="423862" y="1900241"/>
          <a:ext cx="1523999" cy="9524"/>
        </a:xfrm>
        <a:prstGeom xmlns:a="http://schemas.openxmlformats.org/drawingml/2006/main" prst="straightConnector1">
          <a:avLst/>
        </a:prstGeom>
        <a:noFill xmlns:a="http://schemas.openxmlformats.org/drawingml/2006/main"/>
        <a:ln xmlns:a="http://schemas.openxmlformats.org/drawingml/2006/main" w="25400" cap="flat" cmpd="sng" algn="ctr">
          <a:solidFill>
            <a:sysClr val="windowText" lastClr="000000"/>
          </a:solidFill>
          <a:prstDash val="solid"/>
          <a:tailEnd type="triangle"/>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0.21951</cdr:x>
      <cdr:y>0.63527</cdr:y>
    </cdr:from>
    <cdr:to>
      <cdr:x>0.29024</cdr:x>
      <cdr:y>0.67134</cdr:y>
    </cdr:to>
    <cdr:sp macro="" textlink="">
      <cdr:nvSpPr>
        <cdr:cNvPr id="19" name="TextBox 4"/>
        <cdr:cNvSpPr txBox="1"/>
      </cdr:nvSpPr>
      <cdr:spPr>
        <a:xfrm xmlns:a="http://schemas.openxmlformats.org/drawingml/2006/main">
          <a:off x="857250" y="3019425"/>
          <a:ext cx="276225" cy="1714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HEV</a:t>
          </a:r>
        </a:p>
      </cdr:txBody>
    </cdr:sp>
  </cdr:relSizeAnchor>
  <cdr:relSizeAnchor xmlns:cdr="http://schemas.openxmlformats.org/drawingml/2006/chartDrawing">
    <cdr:from>
      <cdr:x>0.33902</cdr:x>
      <cdr:y>0.64529</cdr:y>
    </cdr:from>
    <cdr:to>
      <cdr:x>0.55122</cdr:x>
      <cdr:y>0.68169</cdr:y>
    </cdr:to>
    <cdr:sp macro="" textlink="">
      <cdr:nvSpPr>
        <cdr:cNvPr id="20" name="TextBox 4"/>
        <cdr:cNvSpPr txBox="1"/>
      </cdr:nvSpPr>
      <cdr:spPr>
        <a:xfrm xmlns:a="http://schemas.openxmlformats.org/drawingml/2006/main">
          <a:off x="1323975" y="3067050"/>
          <a:ext cx="828675" cy="17299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PHEV</a:t>
          </a:r>
          <a:r>
            <a:rPr lang="en-US" sz="1200" b="1" baseline="-25000"/>
            <a:t>20km</a:t>
          </a:r>
        </a:p>
      </cdr:txBody>
    </cdr:sp>
  </cdr:relSizeAnchor>
  <cdr:relSizeAnchor xmlns:cdr="http://schemas.openxmlformats.org/drawingml/2006/chartDrawing">
    <cdr:from>
      <cdr:x>0.30963</cdr:x>
      <cdr:y>0.6799</cdr:y>
    </cdr:from>
    <cdr:to>
      <cdr:x>0.38523</cdr:x>
      <cdr:y>0.71397</cdr:y>
    </cdr:to>
    <cdr:sp macro="" textlink="">
      <cdr:nvSpPr>
        <cdr:cNvPr id="17" name="TextBox 4"/>
        <cdr:cNvSpPr txBox="1"/>
      </cdr:nvSpPr>
      <cdr:spPr>
        <a:xfrm xmlns:a="http://schemas.openxmlformats.org/drawingml/2006/main">
          <a:off x="1202745" y="3231569"/>
          <a:ext cx="293666" cy="16193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000">
              <a:solidFill>
                <a:sysClr val="window" lastClr="FFFFFF">
                  <a:lumMod val="65000"/>
                </a:sysClr>
              </a:solidFill>
            </a:rPr>
            <a:t>Coal</a:t>
          </a:r>
        </a:p>
      </cdr:txBody>
    </cdr:sp>
  </cdr:relSizeAnchor>
  <cdr:relSizeAnchor xmlns:cdr="http://schemas.openxmlformats.org/drawingml/2006/chartDrawing">
    <cdr:from>
      <cdr:x>0.30976</cdr:x>
      <cdr:y>0.59118</cdr:y>
    </cdr:from>
    <cdr:to>
      <cdr:x>0.40975</cdr:x>
      <cdr:y>0.62525</cdr:y>
    </cdr:to>
    <cdr:sp macro="" textlink="">
      <cdr:nvSpPr>
        <cdr:cNvPr id="21" name="TextBox 4"/>
        <cdr:cNvSpPr txBox="1"/>
      </cdr:nvSpPr>
      <cdr:spPr>
        <a:xfrm xmlns:a="http://schemas.openxmlformats.org/drawingml/2006/main">
          <a:off x="1209675" y="2809875"/>
          <a:ext cx="390508" cy="16193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000">
              <a:solidFill>
                <a:sysClr val="window" lastClr="FFFFFF">
                  <a:lumMod val="65000"/>
                </a:sysClr>
              </a:solidFill>
            </a:rPr>
            <a:t>Hydro</a:t>
          </a:r>
        </a:p>
      </cdr:txBody>
    </cdr:sp>
  </cdr:relSizeAnchor>
</c:userShapes>
</file>

<file path=xl/drawings/drawing14.xml><?xml version="1.0" encoding="utf-8"?>
<c:userShapes xmlns:c="http://schemas.openxmlformats.org/drawingml/2006/chart">
  <cdr:relSizeAnchor xmlns:cdr="http://schemas.openxmlformats.org/drawingml/2006/chartDrawing">
    <cdr:from>
      <cdr:x>0.30779</cdr:x>
      <cdr:y>0.52304</cdr:y>
    </cdr:from>
    <cdr:to>
      <cdr:x>0.39172</cdr:x>
      <cdr:y>0.56144</cdr:y>
    </cdr:to>
    <cdr:sp macro="" textlink="">
      <cdr:nvSpPr>
        <cdr:cNvPr id="2" name="TextBox 4"/>
        <cdr:cNvSpPr txBox="1"/>
      </cdr:nvSpPr>
      <cdr:spPr>
        <a:xfrm xmlns:a="http://schemas.openxmlformats.org/drawingml/2006/main">
          <a:off x="2248642" y="2486014"/>
          <a:ext cx="613165" cy="18251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PHEV</a:t>
          </a:r>
          <a:r>
            <a:rPr lang="en-US" sz="1200" b="1" baseline="-25000"/>
            <a:t>60km</a:t>
          </a:r>
        </a:p>
      </cdr:txBody>
    </cdr:sp>
  </cdr:relSizeAnchor>
  <cdr:relSizeAnchor xmlns:cdr="http://schemas.openxmlformats.org/drawingml/2006/chartDrawing">
    <cdr:from>
      <cdr:x>0.10552</cdr:x>
      <cdr:y>0.48825</cdr:y>
    </cdr:from>
    <cdr:to>
      <cdr:x>0.15068</cdr:x>
      <cdr:y>0.52432</cdr:y>
    </cdr:to>
    <cdr:sp macro="" textlink="">
      <cdr:nvSpPr>
        <cdr:cNvPr id="19" name="TextBox 4"/>
        <cdr:cNvSpPr txBox="1"/>
      </cdr:nvSpPr>
      <cdr:spPr>
        <a:xfrm xmlns:a="http://schemas.openxmlformats.org/drawingml/2006/main">
          <a:off x="767331" y="2320627"/>
          <a:ext cx="328400" cy="17144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HEV</a:t>
          </a:r>
        </a:p>
      </cdr:txBody>
    </cdr:sp>
  </cdr:relSizeAnchor>
  <cdr:relSizeAnchor xmlns:cdr="http://schemas.openxmlformats.org/drawingml/2006/chartDrawing">
    <cdr:from>
      <cdr:x>0.16679</cdr:x>
      <cdr:y>0.50883</cdr:y>
    </cdr:from>
    <cdr:to>
      <cdr:x>0.25292</cdr:x>
      <cdr:y>0.54323</cdr:y>
    </cdr:to>
    <cdr:sp macro="" textlink="">
      <cdr:nvSpPr>
        <cdr:cNvPr id="20" name="TextBox 4"/>
        <cdr:cNvSpPr txBox="1"/>
      </cdr:nvSpPr>
      <cdr:spPr>
        <a:xfrm xmlns:a="http://schemas.openxmlformats.org/drawingml/2006/main">
          <a:off x="1212870" y="2418464"/>
          <a:ext cx="626329" cy="16350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PHEV</a:t>
          </a:r>
          <a:r>
            <a:rPr lang="en-US" sz="1200" b="1" baseline="-25000"/>
            <a:t>20km</a:t>
          </a:r>
        </a:p>
      </cdr:txBody>
    </cdr:sp>
  </cdr:relSizeAnchor>
  <cdr:relSizeAnchor xmlns:cdr="http://schemas.openxmlformats.org/drawingml/2006/chartDrawing">
    <cdr:from>
      <cdr:x>0.91548</cdr:x>
      <cdr:y>0.52468</cdr:y>
    </cdr:from>
    <cdr:to>
      <cdr:x>0.99393</cdr:x>
      <cdr:y>0.55674</cdr:y>
    </cdr:to>
    <cdr:sp macro="" textlink="">
      <cdr:nvSpPr>
        <cdr:cNvPr id="39" name="TextBox 4"/>
        <cdr:cNvSpPr txBox="1"/>
      </cdr:nvSpPr>
      <cdr:spPr>
        <a:xfrm xmlns:a="http://schemas.openxmlformats.org/drawingml/2006/main">
          <a:off x="6657273" y="2493806"/>
          <a:ext cx="570481" cy="15238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BEV</a:t>
          </a:r>
          <a:r>
            <a:rPr lang="en-US" sz="1200" b="1" baseline="-25000"/>
            <a:t>240km</a:t>
          </a:r>
        </a:p>
      </cdr:txBody>
    </cdr:sp>
  </cdr:relSizeAnchor>
  <cdr:relSizeAnchor xmlns:cdr="http://schemas.openxmlformats.org/drawingml/2006/chartDrawing">
    <cdr:from>
      <cdr:x>0.26977</cdr:x>
      <cdr:y>0.48388</cdr:y>
    </cdr:from>
    <cdr:to>
      <cdr:x>0.32192</cdr:x>
      <cdr:y>0.51594</cdr:y>
    </cdr:to>
    <cdr:sp macro="" textlink="">
      <cdr:nvSpPr>
        <cdr:cNvPr id="11" name="TextBox 4"/>
        <cdr:cNvSpPr txBox="1"/>
      </cdr:nvSpPr>
      <cdr:spPr>
        <a:xfrm xmlns:a="http://schemas.openxmlformats.org/drawingml/2006/main">
          <a:off x="1961747" y="2299874"/>
          <a:ext cx="379230" cy="15238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000">
              <a:solidFill>
                <a:sysClr val="window" lastClr="FFFFFF">
                  <a:lumMod val="65000"/>
                </a:sysClr>
              </a:solidFill>
            </a:rPr>
            <a:t>Hydro</a:t>
          </a:r>
        </a:p>
      </cdr:txBody>
    </cdr:sp>
  </cdr:relSizeAnchor>
  <cdr:relSizeAnchor xmlns:cdr="http://schemas.openxmlformats.org/drawingml/2006/chartDrawing">
    <cdr:from>
      <cdr:x>0.27414</cdr:x>
      <cdr:y>0.61341</cdr:y>
    </cdr:from>
    <cdr:to>
      <cdr:x>0.31716</cdr:x>
      <cdr:y>0.64948</cdr:y>
    </cdr:to>
    <cdr:sp macro="" textlink="">
      <cdr:nvSpPr>
        <cdr:cNvPr id="12" name="TextBox 4"/>
        <cdr:cNvSpPr txBox="1"/>
      </cdr:nvSpPr>
      <cdr:spPr>
        <a:xfrm xmlns:a="http://schemas.openxmlformats.org/drawingml/2006/main">
          <a:off x="1993520" y="2915505"/>
          <a:ext cx="312837" cy="17144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000">
              <a:solidFill>
                <a:sysClr val="window" lastClr="FFFFFF">
                  <a:lumMod val="65000"/>
                </a:sysClr>
              </a:solidFill>
            </a:rPr>
            <a:t>Coal</a:t>
          </a:r>
        </a:p>
      </cdr:txBody>
    </cdr:sp>
  </cdr:relSizeAnchor>
  <cdr:relSizeAnchor xmlns:cdr="http://schemas.openxmlformats.org/drawingml/2006/chartDrawing">
    <cdr:from>
      <cdr:x>0.88515</cdr:x>
      <cdr:y>0.46055</cdr:y>
    </cdr:from>
    <cdr:to>
      <cdr:x>0.9373</cdr:x>
      <cdr:y>0.49262</cdr:y>
    </cdr:to>
    <cdr:sp macro="" textlink="">
      <cdr:nvSpPr>
        <cdr:cNvPr id="15" name="TextBox 4"/>
        <cdr:cNvSpPr txBox="1"/>
      </cdr:nvSpPr>
      <cdr:spPr>
        <a:xfrm xmlns:a="http://schemas.openxmlformats.org/drawingml/2006/main">
          <a:off x="6436732" y="2189002"/>
          <a:ext cx="379230" cy="15242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000">
              <a:solidFill>
                <a:sysClr val="window" lastClr="FFFFFF">
                  <a:lumMod val="65000"/>
                </a:sysClr>
              </a:solidFill>
            </a:rPr>
            <a:t>Hydro</a:t>
          </a:r>
        </a:p>
      </cdr:txBody>
    </cdr:sp>
  </cdr:relSizeAnchor>
  <cdr:relSizeAnchor xmlns:cdr="http://schemas.openxmlformats.org/drawingml/2006/chartDrawing">
    <cdr:from>
      <cdr:x>0.88691</cdr:x>
      <cdr:y>0.74403</cdr:y>
    </cdr:from>
    <cdr:to>
      <cdr:x>0.92994</cdr:x>
      <cdr:y>0.7801</cdr:y>
    </cdr:to>
    <cdr:sp macro="" textlink="">
      <cdr:nvSpPr>
        <cdr:cNvPr id="16" name="TextBox 4"/>
        <cdr:cNvSpPr txBox="1"/>
      </cdr:nvSpPr>
      <cdr:spPr>
        <a:xfrm xmlns:a="http://schemas.openxmlformats.org/drawingml/2006/main">
          <a:off x="6449509" y="3536376"/>
          <a:ext cx="312910" cy="17144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000">
              <a:solidFill>
                <a:sysClr val="window" lastClr="FFFFFF">
                  <a:lumMod val="65000"/>
                </a:sysClr>
              </a:solidFill>
            </a:rPr>
            <a:t>Coal</a:t>
          </a:r>
        </a:p>
      </cdr:txBody>
    </cdr:sp>
  </cdr:relSizeAnchor>
  <cdr:relSizeAnchor xmlns:cdr="http://schemas.openxmlformats.org/drawingml/2006/chartDrawing">
    <cdr:from>
      <cdr:x>0.14834</cdr:x>
      <cdr:y>0.47569</cdr:y>
    </cdr:from>
    <cdr:to>
      <cdr:x>0.2005</cdr:x>
      <cdr:y>0.50775</cdr:y>
    </cdr:to>
    <cdr:sp macro="" textlink="">
      <cdr:nvSpPr>
        <cdr:cNvPr id="17" name="TextBox 4"/>
        <cdr:cNvSpPr txBox="1"/>
      </cdr:nvSpPr>
      <cdr:spPr>
        <a:xfrm xmlns:a="http://schemas.openxmlformats.org/drawingml/2006/main">
          <a:off x="1078709" y="2260926"/>
          <a:ext cx="379303" cy="15238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a:solidFill>
                <a:sysClr val="window" lastClr="FFFFFF">
                  <a:lumMod val="65000"/>
                </a:sysClr>
              </a:solidFill>
            </a:rPr>
            <a:t>Hydro</a:t>
          </a:r>
        </a:p>
      </cdr:txBody>
    </cdr:sp>
  </cdr:relSizeAnchor>
  <cdr:relSizeAnchor xmlns:cdr="http://schemas.openxmlformats.org/drawingml/2006/chartDrawing">
    <cdr:from>
      <cdr:x>0.15414</cdr:x>
      <cdr:y>0.54454</cdr:y>
    </cdr:from>
    <cdr:to>
      <cdr:x>0.19716</cdr:x>
      <cdr:y>0.58061</cdr:y>
    </cdr:to>
    <cdr:sp macro="" textlink="">
      <cdr:nvSpPr>
        <cdr:cNvPr id="18" name="TextBox 4"/>
        <cdr:cNvSpPr txBox="1"/>
      </cdr:nvSpPr>
      <cdr:spPr>
        <a:xfrm xmlns:a="http://schemas.openxmlformats.org/drawingml/2006/main">
          <a:off x="1120891" y="2588194"/>
          <a:ext cx="312838" cy="17143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000">
              <a:solidFill>
                <a:sysClr val="window" lastClr="FFFFFF">
                  <a:lumMod val="65000"/>
                </a:sysClr>
              </a:solidFill>
            </a:rPr>
            <a:t>Coal</a:t>
          </a:r>
        </a:p>
      </cdr:txBody>
    </cdr:sp>
  </cdr:relSizeAnchor>
  <cdr:relSizeAnchor xmlns:cdr="http://schemas.openxmlformats.org/drawingml/2006/chartDrawing">
    <cdr:from>
      <cdr:x>0.25684</cdr:x>
      <cdr:y>0.1171</cdr:y>
    </cdr:from>
    <cdr:to>
      <cdr:x>0.33246</cdr:x>
      <cdr:y>0.19854</cdr:y>
    </cdr:to>
    <cdr:sp macro="" textlink="">
      <cdr:nvSpPr>
        <cdr:cNvPr id="13" name="TextBox 1"/>
        <cdr:cNvSpPr txBox="1">
          <a:spLocks xmlns:a="http://schemas.openxmlformats.org/drawingml/2006/main" noChangeArrowheads="1"/>
        </cdr:cNvSpPr>
      </cdr:nvSpPr>
      <cdr:spPr bwMode="auto">
        <a:xfrm xmlns:a="http://schemas.openxmlformats.org/drawingml/2006/main">
          <a:off x="1876391" y="556596"/>
          <a:ext cx="552475" cy="3870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 xmlns:a14="http://schemas.microsoft.com/office/drawing/2010/main" xmlns:p="http://schemas.openxmlformats.org/presentationml/2006/main" xmlns:r="http://schemas.openxmlformats.org/officeDocument/2006/relationships" xmlns:lc="http://schemas.openxmlformats.org/drawingml/2006/lockedCanvas">
              <a:solidFill>
                <a:srgbClr val="FFFFFF"/>
              </a:solidFill>
            </a14:hiddenFill>
          </a:ext>
          <a:ext uri="{91240B29-F687-4F45-9708-019B960494DF}">
            <a14:hiddenLine xmlns="" xmlns:a14="http://schemas.microsoft.com/office/drawing/2010/main" xmlns:p="http://schemas.openxmlformats.org/presentationml/2006/main" xmlns:r="http://schemas.openxmlformats.org/officeDocument/2006/relationships" xmlns:lc="http://schemas.openxmlformats.org/drawingml/2006/lockedCanvas" w="9525">
              <a:solidFill>
                <a:srgbClr val="000000"/>
              </a:solidFill>
              <a:miter lim="800000"/>
              <a:headEnd/>
              <a:tailEnd/>
            </a14:hiddenLine>
          </a:ext>
        </a:extLst>
      </cdr:spPr>
      <cdr:txBody>
        <a:bodyPr xmlns:a="http://schemas.openxmlformats.org/drawingml/2006/main" wrap="square">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eaLnBrk="1" hangingPunct="1">
            <a:spcBef>
              <a:spcPct val="20000"/>
            </a:spcBef>
            <a:spcAft>
              <a:spcPct val="25000"/>
            </a:spcAft>
            <a:buClr>
              <a:sysClr val="windowText" lastClr="000000"/>
            </a:buClr>
            <a:buFont typeface="Wingdings" pitchFamily="2" charset="2"/>
            <a:buNone/>
          </a:pPr>
          <a:r>
            <a:rPr lang="en-US" sz="1200" b="1"/>
            <a:t>GM</a:t>
          </a:r>
          <a:br>
            <a:rPr lang="en-US" sz="1200" b="1"/>
          </a:br>
          <a:r>
            <a:rPr lang="en-US" sz="1200" b="1"/>
            <a:t>Volt</a:t>
          </a:r>
        </a:p>
      </cdr:txBody>
    </cdr:sp>
  </cdr:relSizeAnchor>
  <cdr:relSizeAnchor xmlns:cdr="http://schemas.openxmlformats.org/drawingml/2006/chartDrawing">
    <cdr:from>
      <cdr:x>0.3505</cdr:x>
      <cdr:y>0.11743</cdr:y>
    </cdr:from>
    <cdr:to>
      <cdr:x>0.43937</cdr:x>
      <cdr:y>0.20641</cdr:y>
    </cdr:to>
    <cdr:sp macro="" textlink="">
      <cdr:nvSpPr>
        <cdr:cNvPr id="21" name="TextBox 16"/>
        <cdr:cNvSpPr txBox="1">
          <a:spLocks xmlns:a="http://schemas.openxmlformats.org/drawingml/2006/main" noChangeArrowheads="1"/>
        </cdr:cNvSpPr>
      </cdr:nvSpPr>
      <cdr:spPr bwMode="auto">
        <a:xfrm xmlns:a="http://schemas.openxmlformats.org/drawingml/2006/main">
          <a:off x="2560605" y="558165"/>
          <a:ext cx="649287" cy="4229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 xmlns:a14="http://schemas.microsoft.com/office/drawing/2010/main" xmlns:p="http://schemas.openxmlformats.org/presentationml/2006/main" xmlns:r="http://schemas.openxmlformats.org/officeDocument/2006/relationships" xmlns:lc="http://schemas.openxmlformats.org/drawingml/2006/lockedCanvas">
              <a:solidFill>
                <a:srgbClr val="FFFFFF"/>
              </a:solidFill>
            </a14:hiddenFill>
          </a:ext>
          <a:ext uri="{91240B29-F687-4F45-9708-019B960494DF}">
            <a14:hiddenLine xmlns="" xmlns:a14="http://schemas.microsoft.com/office/drawing/2010/main" xmlns:p="http://schemas.openxmlformats.org/presentationml/2006/main" xmlns:r="http://schemas.openxmlformats.org/officeDocument/2006/relationships" xmlns:lc="http://schemas.openxmlformats.org/drawingml/2006/lockedCanvas" w="9525">
              <a:solidFill>
                <a:srgbClr val="000000"/>
              </a:solidFill>
              <a:miter lim="800000"/>
              <a:headEnd/>
              <a:tailEnd/>
            </a14:hiddenLine>
          </a:ext>
        </a:extLst>
      </cdr:spPr>
      <cdr:txBody>
        <a:bodyPr xmlns:a="http://schemas.openxmlformats.org/drawingml/2006/main" wrap="square">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eaLnBrk="1" hangingPunct="1">
            <a:spcBef>
              <a:spcPct val="20000"/>
            </a:spcBef>
            <a:spcAft>
              <a:spcPct val="25000"/>
            </a:spcAft>
            <a:buClr>
              <a:sysClr val="windowText" lastClr="000000"/>
            </a:buClr>
            <a:buFont typeface="Wingdings" pitchFamily="2" charset="2"/>
            <a:buNone/>
          </a:pPr>
          <a:r>
            <a:rPr lang="en-US" sz="1200" b="1"/>
            <a:t>Nissan Leaf</a:t>
          </a:r>
        </a:p>
      </cdr:txBody>
    </cdr:sp>
  </cdr:relSizeAnchor>
  <cdr:relSizeAnchor xmlns:cdr="http://schemas.openxmlformats.org/drawingml/2006/chartDrawing">
    <cdr:from>
      <cdr:x>0.24562</cdr:x>
      <cdr:y>0.02495</cdr:y>
    </cdr:from>
    <cdr:to>
      <cdr:x>0.34839</cdr:x>
      <cdr:y>0.12517</cdr:y>
    </cdr:to>
    <cdr:pic>
      <cdr:nvPicPr>
        <cdr:cNvPr id="23" name="Picture 22" descr="gm-volt-5-photo01.jpg"/>
        <cdr:cNvPicPr>
          <a:picLocks xmlns:a="http://schemas.openxmlformats.org/drawingml/2006/main"/>
        </cdr:cNvPicPr>
      </cdr:nvPicPr>
      <cdr:blipFill>
        <a:blip xmlns:a="http://schemas.openxmlformats.org/drawingml/2006/main" xmlns:r="http://schemas.openxmlformats.org/officeDocument/2006/relationships" r:embed="rId1" cstate="print">
          <a:extLst>
            <a:ext uri="{28A0092B-C50C-407E-A947-70E740481C1C}">
              <a14:useLocalDpi xmlns="" xmlns:a14="http://schemas.microsoft.com/office/drawing/2010/main" xmlns:p="http://schemas.openxmlformats.org/presentationml/2006/main" xmlns:lc="http://schemas.openxmlformats.org/drawingml/2006/lockedCanvas" val="0"/>
            </a:ext>
          </a:extLst>
        </a:blip>
        <a:srcRect xmlns:a="http://schemas.openxmlformats.org/drawingml/2006/main"/>
        <a:stretch xmlns:a="http://schemas.openxmlformats.org/drawingml/2006/main">
          <a:fillRect/>
        </a:stretch>
      </cdr:blipFill>
      <cdr:spPr bwMode="auto">
        <a:xfrm xmlns:a="http://schemas.openxmlformats.org/drawingml/2006/main">
          <a:off x="1794414" y="118579"/>
          <a:ext cx="750837" cy="4763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 xmlns:a14="http://schemas.microsoft.com/office/drawing/2010/main" xmlns:p="http://schemas.openxmlformats.org/presentationml/2006/main" xmlns:r="http://schemas.openxmlformats.org/officeDocument/2006/relationships" xmlns:lc="http://schemas.openxmlformats.org/drawingml/2006/lockedCanvas">
              <a:solidFill>
                <a:srgbClr val="FFFFFF"/>
              </a:solidFill>
            </a14:hiddenFill>
          </a:ext>
          <a:ext uri="{91240B29-F687-4F45-9708-019B960494DF}">
            <a14:hiddenLine xmlns="" xmlns:a14="http://schemas.microsoft.com/office/drawing/2010/main" xmlns:p="http://schemas.openxmlformats.org/presentationml/2006/main" xmlns:r="http://schemas.openxmlformats.org/officeDocument/2006/relationships" xmlns:lc="http://schemas.openxmlformats.org/drawingml/2006/lockedCanvas" w="9525">
              <a:solidFill>
                <a:srgbClr val="000000"/>
              </a:solidFill>
              <a:miter lim="800000"/>
              <a:headEnd/>
              <a:tailEnd/>
            </a14:hiddenLine>
          </a:ext>
        </a:extLst>
      </cdr:spPr>
    </cdr:pic>
  </cdr:relSizeAnchor>
  <cdr:relSizeAnchor xmlns:cdr="http://schemas.openxmlformats.org/drawingml/2006/chartDrawing">
    <cdr:from>
      <cdr:x>0.35281</cdr:x>
      <cdr:y>0.02405</cdr:y>
    </cdr:from>
    <cdr:to>
      <cdr:x>0.44198</cdr:x>
      <cdr:y>0.12603</cdr:y>
    </cdr:to>
    <cdr:pic>
      <cdr:nvPicPr>
        <cdr:cNvPr id="24" name="Picture 23" descr="nissan-leaf.jpg"/>
        <cdr:cNvPicPr>
          <a:picLocks xmlns:a="http://schemas.openxmlformats.org/drawingml/2006/main"/>
        </cdr:cNvPicPr>
      </cdr:nvPicPr>
      <cdr:blipFill>
        <a:blip xmlns:a="http://schemas.openxmlformats.org/drawingml/2006/main" xmlns:r="http://schemas.openxmlformats.org/officeDocument/2006/relationships" r:embed="rId2" cstate="print">
          <a:extLst>
            <a:ext uri="{28A0092B-C50C-407E-A947-70E740481C1C}">
              <a14:useLocalDpi xmlns="" xmlns:a14="http://schemas.microsoft.com/office/drawing/2010/main" xmlns:p="http://schemas.openxmlformats.org/presentationml/2006/main" xmlns:lc="http://schemas.openxmlformats.org/drawingml/2006/lockedCanvas" val="0"/>
            </a:ext>
          </a:extLst>
        </a:blip>
        <a:srcRect xmlns:a="http://schemas.openxmlformats.org/drawingml/2006/main"/>
        <a:stretch xmlns:a="http://schemas.openxmlformats.org/drawingml/2006/main">
          <a:fillRect/>
        </a:stretch>
      </cdr:blipFill>
      <cdr:spPr bwMode="auto">
        <a:xfrm xmlns:a="http://schemas.openxmlformats.org/drawingml/2006/main">
          <a:off x="2577522" y="114301"/>
          <a:ext cx="651454" cy="48473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 xmlns:a14="http://schemas.microsoft.com/office/drawing/2010/main" xmlns:p="http://schemas.openxmlformats.org/presentationml/2006/main" xmlns:r="http://schemas.openxmlformats.org/officeDocument/2006/relationships" xmlns:lc="http://schemas.openxmlformats.org/drawingml/2006/lockedCanvas">
              <a:solidFill>
                <a:srgbClr val="FFFFFF"/>
              </a:solidFill>
            </a14:hiddenFill>
          </a:ext>
          <a:ext uri="{91240B29-F687-4F45-9708-019B960494DF}">
            <a14:hiddenLine xmlns="" xmlns:a14="http://schemas.microsoft.com/office/drawing/2010/main" xmlns:p="http://schemas.openxmlformats.org/presentationml/2006/main" xmlns:r="http://schemas.openxmlformats.org/officeDocument/2006/relationships" xmlns:lc="http://schemas.openxmlformats.org/drawingml/2006/lockedCanvas" w="9525">
              <a:solidFill>
                <a:srgbClr val="000000"/>
              </a:solidFill>
              <a:miter lim="800000"/>
              <a:headEnd/>
              <a:tailEnd/>
            </a14:hiddenLine>
          </a:ext>
        </a:extLst>
      </cdr:spPr>
    </cdr:pic>
  </cdr:relSizeAnchor>
  <cdr:relSizeAnchor xmlns:cdr="http://schemas.openxmlformats.org/drawingml/2006/chartDrawing">
    <cdr:from>
      <cdr:x>0.39102</cdr:x>
      <cdr:y>0.20544</cdr:y>
    </cdr:from>
    <cdr:to>
      <cdr:x>0.39124</cdr:x>
      <cdr:y>0.25554</cdr:y>
    </cdr:to>
    <cdr:sp macro="" textlink="">
      <cdr:nvSpPr>
        <cdr:cNvPr id="25" name="Straight Arrow Connector 24"/>
        <cdr:cNvSpPr/>
      </cdr:nvSpPr>
      <cdr:spPr>
        <a:xfrm xmlns:a="http://schemas.openxmlformats.org/drawingml/2006/main" rot="5400000">
          <a:off x="2738425" y="1094712"/>
          <a:ext cx="238124" cy="1607"/>
        </a:xfrm>
        <a:prstGeom xmlns:a="http://schemas.openxmlformats.org/drawingml/2006/main" prst="straightConnector1">
          <a:avLst/>
        </a:prstGeom>
        <a:noFill xmlns:a="http://schemas.openxmlformats.org/drawingml/2006/main"/>
        <a:ln xmlns:a="http://schemas.openxmlformats.org/drawingml/2006/main" w="25400" cap="flat" cmpd="sng" algn="ctr">
          <a:solidFill>
            <a:sysClr val="windowText" lastClr="000000"/>
          </a:solidFill>
          <a:prstDash val="solid"/>
          <a:tailEnd type="triangle"/>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0.29726</cdr:x>
      <cdr:y>0.20527</cdr:y>
    </cdr:from>
    <cdr:to>
      <cdr:x>0.29748</cdr:x>
      <cdr:y>0.25537</cdr:y>
    </cdr:to>
    <cdr:sp macro="" textlink="">
      <cdr:nvSpPr>
        <cdr:cNvPr id="26" name="Straight Arrow Connector 25"/>
        <cdr:cNvSpPr/>
      </cdr:nvSpPr>
      <cdr:spPr>
        <a:xfrm xmlns:a="http://schemas.openxmlformats.org/drawingml/2006/main" rot="5400000">
          <a:off x="2053406" y="1093927"/>
          <a:ext cx="238124" cy="1601"/>
        </a:xfrm>
        <a:prstGeom xmlns:a="http://schemas.openxmlformats.org/drawingml/2006/main" prst="straightConnector1">
          <a:avLst/>
        </a:prstGeom>
        <a:noFill xmlns:a="http://schemas.openxmlformats.org/drawingml/2006/main"/>
        <a:ln xmlns:a="http://schemas.openxmlformats.org/drawingml/2006/main" w="25400" cap="flat" cmpd="sng" algn="ctr">
          <a:solidFill>
            <a:sysClr val="windowText" lastClr="000000"/>
          </a:solidFill>
          <a:prstDash val="solid"/>
          <a:tailEnd type="triangle"/>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0.11335</cdr:x>
      <cdr:y>0.12503</cdr:y>
    </cdr:from>
    <cdr:to>
      <cdr:x>0.1894</cdr:x>
      <cdr:y>0.20647</cdr:y>
    </cdr:to>
    <cdr:sp macro="" textlink="">
      <cdr:nvSpPr>
        <cdr:cNvPr id="28" name="TextBox 1"/>
        <cdr:cNvSpPr txBox="1">
          <a:spLocks xmlns:a="http://schemas.openxmlformats.org/drawingml/2006/main" noChangeArrowheads="1"/>
        </cdr:cNvSpPr>
      </cdr:nvSpPr>
      <cdr:spPr bwMode="auto">
        <a:xfrm xmlns:a="http://schemas.openxmlformats.org/drawingml/2006/main">
          <a:off x="824270" y="594252"/>
          <a:ext cx="553029" cy="3870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cdr:spPr>
      <cdr:txBody>
        <a:bodyPr xmlns:a="http://schemas.openxmlformats.org/drawingml/2006/main" wrap="square" lIns="0" tIns="0" rIns="0" bIns="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eaLnBrk="1" hangingPunct="1">
            <a:spcBef>
              <a:spcPct val="20000"/>
            </a:spcBef>
            <a:spcAft>
              <a:spcPct val="25000"/>
            </a:spcAft>
            <a:buClr>
              <a:sysClr val="windowText" lastClr="000000"/>
            </a:buClr>
            <a:buFont typeface="Wingdings" pitchFamily="2" charset="2"/>
            <a:buNone/>
          </a:pPr>
          <a:r>
            <a:rPr lang="en-US" sz="1200" b="1"/>
            <a:t>Toyota PHEV Prius</a:t>
          </a:r>
        </a:p>
      </cdr:txBody>
    </cdr:sp>
  </cdr:relSizeAnchor>
  <cdr:relSizeAnchor xmlns:cdr="http://schemas.openxmlformats.org/drawingml/2006/chartDrawing">
    <cdr:from>
      <cdr:x>0.14896</cdr:x>
      <cdr:y>0.24085</cdr:y>
    </cdr:from>
    <cdr:to>
      <cdr:x>0.14966</cdr:x>
      <cdr:y>0.46092</cdr:y>
    </cdr:to>
    <cdr:sp macro="" textlink="">
      <cdr:nvSpPr>
        <cdr:cNvPr id="29" name="Straight Arrow Connector 28"/>
        <cdr:cNvSpPr/>
      </cdr:nvSpPr>
      <cdr:spPr>
        <a:xfrm xmlns:a="http://schemas.openxmlformats.org/drawingml/2006/main" rot="5400000" flipV="1">
          <a:off x="562778" y="1665206"/>
          <a:ext cx="1046009" cy="5060"/>
        </a:xfrm>
        <a:prstGeom xmlns:a="http://schemas.openxmlformats.org/drawingml/2006/main" prst="straightConnector1">
          <a:avLst/>
        </a:prstGeom>
        <a:noFill xmlns:a="http://schemas.openxmlformats.org/drawingml/2006/main"/>
        <a:ln xmlns:a="http://schemas.openxmlformats.org/drawingml/2006/main" w="25400" cap="flat" cmpd="sng" algn="ctr">
          <a:solidFill>
            <a:sysClr val="windowText" lastClr="000000"/>
          </a:solidFill>
          <a:prstDash val="solid"/>
          <a:tailEnd type="triangle"/>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0.09906</cdr:x>
      <cdr:y>0.02483</cdr:y>
    </cdr:from>
    <cdr:to>
      <cdr:x>0.20529</cdr:x>
      <cdr:y>0.12439</cdr:y>
    </cdr:to>
    <cdr:pic>
      <cdr:nvPicPr>
        <cdr:cNvPr id="22" name="Picture 21" descr="prius.jpg"/>
        <cdr:cNvPicPr>
          <a:picLocks xmlns:a="http://schemas.openxmlformats.org/drawingml/2006/main"/>
        </cdr:cNvPicPr>
      </cdr:nvPicPr>
      <cdr:blipFill>
        <a:blip xmlns:a="http://schemas.openxmlformats.org/drawingml/2006/main" xmlns:r="http://schemas.openxmlformats.org/officeDocument/2006/relationships" r:embed="rId3" cstate="print">
          <a:extLst>
            <a:ext uri="{28A0092B-C50C-407E-A947-70E740481C1C}">
              <a14:useLocalDpi xmlns="" xmlns:a14="http://schemas.microsoft.com/office/drawing/2010/main" xmlns:p="http://schemas.openxmlformats.org/presentationml/2006/main" xmlns:lc="http://schemas.openxmlformats.org/drawingml/2006/lockedCanvas" val="0"/>
            </a:ext>
          </a:extLst>
        </a:blip>
        <a:srcRect xmlns:a="http://schemas.openxmlformats.org/drawingml/2006/main"/>
        <a:stretch xmlns:a="http://schemas.openxmlformats.org/drawingml/2006/main">
          <a:fillRect/>
        </a:stretch>
      </cdr:blipFill>
      <cdr:spPr bwMode="auto">
        <a:xfrm xmlns:a="http://schemas.openxmlformats.org/drawingml/2006/main">
          <a:off x="723719" y="118016"/>
          <a:ext cx="776082" cy="47320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 xmlns:a14="http://schemas.microsoft.com/office/drawing/2010/main" xmlns:p="http://schemas.openxmlformats.org/presentationml/2006/main" xmlns:r="http://schemas.openxmlformats.org/officeDocument/2006/relationships" xmlns:lc="http://schemas.openxmlformats.org/drawingml/2006/lockedCanvas">
              <a:solidFill>
                <a:srgbClr val="FFFFFF"/>
              </a:solidFill>
            </a14:hiddenFill>
          </a:ext>
          <a:ext uri="{91240B29-F687-4F45-9708-019B960494DF}">
            <a14:hiddenLine xmlns="" xmlns:a14="http://schemas.microsoft.com/office/drawing/2010/main" xmlns:p="http://schemas.openxmlformats.org/presentationml/2006/main" xmlns:r="http://schemas.openxmlformats.org/officeDocument/2006/relationships" xmlns:lc="http://schemas.openxmlformats.org/drawingml/2006/lockedCanvas" w="9525">
              <a:solidFill>
                <a:srgbClr val="000000"/>
              </a:solidFill>
              <a:miter lim="800000"/>
              <a:headEnd/>
              <a:tailEnd/>
            </a14:hiddenLine>
          </a:ext>
        </a:extLst>
      </cdr:spPr>
    </cdr:pic>
  </cdr:relSizeAnchor>
  <cdr:relSizeAnchor xmlns:cdr="http://schemas.openxmlformats.org/drawingml/2006/chartDrawing">
    <cdr:from>
      <cdr:x>0.12507</cdr:x>
      <cdr:y>0.31823</cdr:y>
    </cdr:from>
    <cdr:to>
      <cdr:x>0.3113</cdr:x>
      <cdr:y>0.36456</cdr:y>
    </cdr:to>
    <cdr:sp macro="" textlink="">
      <cdr:nvSpPr>
        <cdr:cNvPr id="27" name="TextBox 26"/>
        <cdr:cNvSpPr txBox="1"/>
      </cdr:nvSpPr>
      <cdr:spPr>
        <a:xfrm xmlns:a="http://schemas.openxmlformats.org/drawingml/2006/main" rot="18992841">
          <a:off x="913755" y="1512553"/>
          <a:ext cx="1360501" cy="2202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00">
              <a:solidFill>
                <a:srgbClr val="C00000"/>
              </a:solidFill>
            </a:rPr>
            <a:t>Fed Tax Credit</a:t>
          </a:r>
        </a:p>
      </cdr:txBody>
    </cdr:sp>
  </cdr:relSizeAnchor>
</c:userShapes>
</file>

<file path=xl/drawings/drawing15.xml><?xml version="1.0" encoding="utf-8"?>
<c:userShapes xmlns:c="http://schemas.openxmlformats.org/drawingml/2006/chart">
  <cdr:relSizeAnchor xmlns:cdr="http://schemas.openxmlformats.org/drawingml/2006/chartDrawing">
    <cdr:from>
      <cdr:x>0.47075</cdr:x>
      <cdr:y>0.51878</cdr:y>
    </cdr:from>
    <cdr:to>
      <cdr:x>0.59498</cdr:x>
      <cdr:y>0.57443</cdr:y>
    </cdr:to>
    <cdr:sp macro="" textlink="">
      <cdr:nvSpPr>
        <cdr:cNvPr id="9" name="TextBox 4"/>
        <cdr:cNvSpPr txBox="1"/>
      </cdr:nvSpPr>
      <cdr:spPr>
        <a:xfrm xmlns:a="http://schemas.openxmlformats.org/drawingml/2006/main">
          <a:off x="1343358" y="1649879"/>
          <a:ext cx="354509" cy="17698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solidFill>
                <a:schemeClr val="tx1">
                  <a:lumMod val="65000"/>
                  <a:lumOff val="35000"/>
                </a:schemeClr>
              </a:solidFill>
            </a:rPr>
            <a:t>Hydro</a:t>
          </a:r>
        </a:p>
      </cdr:txBody>
    </cdr:sp>
  </cdr:relSizeAnchor>
  <cdr:relSizeAnchor xmlns:cdr="http://schemas.openxmlformats.org/drawingml/2006/chartDrawing">
    <cdr:from>
      <cdr:x>0.64989</cdr:x>
      <cdr:y>0.51878</cdr:y>
    </cdr:from>
    <cdr:to>
      <cdr:x>0.77411</cdr:x>
      <cdr:y>0.57443</cdr:y>
    </cdr:to>
    <cdr:sp macro="" textlink="">
      <cdr:nvSpPr>
        <cdr:cNvPr id="10" name="TextBox 4"/>
        <cdr:cNvSpPr txBox="1"/>
      </cdr:nvSpPr>
      <cdr:spPr>
        <a:xfrm xmlns:a="http://schemas.openxmlformats.org/drawingml/2006/main">
          <a:off x="1854561" y="1649879"/>
          <a:ext cx="354481" cy="17698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solidFill>
                <a:sysClr val="windowText" lastClr="000000">
                  <a:lumMod val="65000"/>
                  <a:lumOff val="35000"/>
                </a:sysClr>
              </a:solidFill>
            </a:rPr>
            <a:t>Hydro</a:t>
          </a:r>
        </a:p>
      </cdr:txBody>
    </cdr:sp>
  </cdr:relSizeAnchor>
  <cdr:relSizeAnchor xmlns:cdr="http://schemas.openxmlformats.org/drawingml/2006/chartDrawing">
    <cdr:from>
      <cdr:x>0.83319</cdr:x>
      <cdr:y>0.49567</cdr:y>
    </cdr:from>
    <cdr:to>
      <cdr:x>0.95741</cdr:x>
      <cdr:y>0.55132</cdr:y>
    </cdr:to>
    <cdr:sp macro="" textlink="">
      <cdr:nvSpPr>
        <cdr:cNvPr id="11" name="TextBox 4"/>
        <cdr:cNvSpPr txBox="1"/>
      </cdr:nvSpPr>
      <cdr:spPr>
        <a:xfrm xmlns:a="http://schemas.openxmlformats.org/drawingml/2006/main">
          <a:off x="2377636" y="1576383"/>
          <a:ext cx="354481" cy="17698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solidFill>
                <a:sysClr val="windowText" lastClr="000000">
                  <a:lumMod val="65000"/>
                  <a:lumOff val="35000"/>
                </a:sysClr>
              </a:solidFill>
            </a:rPr>
            <a:t>Hydro</a:t>
          </a:r>
        </a:p>
      </cdr:txBody>
    </cdr:sp>
  </cdr:relSizeAnchor>
  <cdr:relSizeAnchor xmlns:cdr="http://schemas.openxmlformats.org/drawingml/2006/chartDrawing">
    <cdr:from>
      <cdr:x>0.46659</cdr:x>
      <cdr:y>0.58541</cdr:y>
    </cdr:from>
    <cdr:to>
      <cdr:x>0.59081</cdr:x>
      <cdr:y>0.64106</cdr:y>
    </cdr:to>
    <cdr:sp macro="" textlink="">
      <cdr:nvSpPr>
        <cdr:cNvPr id="12" name="TextBox 4"/>
        <cdr:cNvSpPr txBox="1"/>
      </cdr:nvSpPr>
      <cdr:spPr>
        <a:xfrm xmlns:a="http://schemas.openxmlformats.org/drawingml/2006/main">
          <a:off x="1331486" y="1861774"/>
          <a:ext cx="354481" cy="17698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solidFill>
                <a:sysClr val="windowText" lastClr="000000">
                  <a:lumMod val="65000"/>
                  <a:lumOff val="35000"/>
                </a:sysClr>
              </a:solidFill>
            </a:rPr>
            <a:t>Coal</a:t>
          </a:r>
        </a:p>
      </cdr:txBody>
    </cdr:sp>
  </cdr:relSizeAnchor>
  <cdr:relSizeAnchor xmlns:cdr="http://schemas.openxmlformats.org/drawingml/2006/chartDrawing">
    <cdr:from>
      <cdr:x>0.64572</cdr:x>
      <cdr:y>0.65589</cdr:y>
    </cdr:from>
    <cdr:to>
      <cdr:x>0.76995</cdr:x>
      <cdr:y>0.71155</cdr:y>
    </cdr:to>
    <cdr:sp macro="" textlink="">
      <cdr:nvSpPr>
        <cdr:cNvPr id="13" name="TextBox 4"/>
        <cdr:cNvSpPr txBox="1"/>
      </cdr:nvSpPr>
      <cdr:spPr>
        <a:xfrm xmlns:a="http://schemas.openxmlformats.org/drawingml/2006/main">
          <a:off x="1842661" y="2085911"/>
          <a:ext cx="354510" cy="1770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solidFill>
                <a:sysClr val="windowText" lastClr="000000">
                  <a:lumMod val="65000"/>
                  <a:lumOff val="35000"/>
                </a:sysClr>
              </a:solidFill>
            </a:rPr>
            <a:t>Coal</a:t>
          </a:r>
        </a:p>
      </cdr:txBody>
    </cdr:sp>
  </cdr:relSizeAnchor>
  <cdr:relSizeAnchor xmlns:cdr="http://schemas.openxmlformats.org/drawingml/2006/chartDrawing">
    <cdr:from>
      <cdr:x>0.83093</cdr:x>
      <cdr:y>0.7837</cdr:y>
    </cdr:from>
    <cdr:to>
      <cdr:x>0.95515</cdr:x>
      <cdr:y>0.83935</cdr:y>
    </cdr:to>
    <cdr:sp macro="" textlink="">
      <cdr:nvSpPr>
        <cdr:cNvPr id="14" name="TextBox 4"/>
        <cdr:cNvSpPr txBox="1"/>
      </cdr:nvSpPr>
      <cdr:spPr>
        <a:xfrm xmlns:a="http://schemas.openxmlformats.org/drawingml/2006/main">
          <a:off x="2371183" y="2492382"/>
          <a:ext cx="354481" cy="176983"/>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800">
              <a:solidFill>
                <a:sysClr val="windowText" lastClr="000000">
                  <a:lumMod val="65000"/>
                  <a:lumOff val="35000"/>
                </a:sysClr>
              </a:solidFill>
            </a:rPr>
            <a:t>Coal</a:t>
          </a:r>
        </a:p>
      </cdr:txBody>
    </cdr:sp>
  </cdr:relSizeAnchor>
</c:userShapes>
</file>

<file path=xl/drawings/drawing16.xml><?xml version="1.0" encoding="utf-8"?>
<xdr:wsDr xmlns:xdr="http://schemas.openxmlformats.org/drawingml/2006/spreadsheetDrawing" xmlns:a="http://schemas.openxmlformats.org/drawingml/2006/main">
  <xdr:twoCellAnchor>
    <xdr:from>
      <xdr:col>13</xdr:col>
      <xdr:colOff>226787</xdr:colOff>
      <xdr:row>11</xdr:row>
      <xdr:rowOff>11339</xdr:rowOff>
    </xdr:from>
    <xdr:to>
      <xdr:col>20</xdr:col>
      <xdr:colOff>297089</xdr:colOff>
      <xdr:row>24</xdr:row>
      <xdr:rowOff>147410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269876</xdr:colOff>
      <xdr:row>3</xdr:row>
      <xdr:rowOff>47625</xdr:rowOff>
    </xdr:from>
    <xdr:to>
      <xdr:col>20</xdr:col>
      <xdr:colOff>365125</xdr:colOff>
      <xdr:row>15</xdr:row>
      <xdr:rowOff>174625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492125</xdr:colOff>
      <xdr:row>3</xdr:row>
      <xdr:rowOff>1</xdr:rowOff>
    </xdr:from>
    <xdr:to>
      <xdr:col>27</xdr:col>
      <xdr:colOff>603250</xdr:colOff>
      <xdr:row>15</xdr:row>
      <xdr:rowOff>127001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238125</xdr:colOff>
      <xdr:row>0</xdr:row>
      <xdr:rowOff>190500</xdr:rowOff>
    </xdr:from>
    <xdr:to>
      <xdr:col>21</xdr:col>
      <xdr:colOff>107156</xdr:colOff>
      <xdr:row>14</xdr:row>
      <xdr:rowOff>47624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238124</xdr:colOff>
      <xdr:row>14</xdr:row>
      <xdr:rowOff>166687</xdr:rowOff>
    </xdr:from>
    <xdr:to>
      <xdr:col>21</xdr:col>
      <xdr:colOff>119063</xdr:colOff>
      <xdr:row>29</xdr:row>
      <xdr:rowOff>-1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95250</xdr:colOff>
      <xdr:row>2</xdr:row>
      <xdr:rowOff>47626</xdr:rowOff>
    </xdr:from>
    <xdr:to>
      <xdr:col>14</xdr:col>
      <xdr:colOff>0</xdr:colOff>
      <xdr:row>2</xdr:row>
      <xdr:rowOff>2619376</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95250</xdr:colOff>
      <xdr:row>2</xdr:row>
      <xdr:rowOff>15875</xdr:rowOff>
    </xdr:from>
    <xdr:to>
      <xdr:col>24</xdr:col>
      <xdr:colOff>555625</xdr:colOff>
      <xdr:row>2</xdr:row>
      <xdr:rowOff>2587625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264583</xdr:colOff>
      <xdr:row>28</xdr:row>
      <xdr:rowOff>21167</xdr:rowOff>
    </xdr:from>
    <xdr:to>
      <xdr:col>4</xdr:col>
      <xdr:colOff>264584</xdr:colOff>
      <xdr:row>44</xdr:row>
      <xdr:rowOff>74083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9</xdr:col>
      <xdr:colOff>317498</xdr:colOff>
      <xdr:row>0</xdr:row>
      <xdr:rowOff>232834</xdr:rowOff>
    </xdr:from>
    <xdr:to>
      <xdr:col>16</xdr:col>
      <xdr:colOff>349249</xdr:colOff>
      <xdr:row>12</xdr:row>
      <xdr:rowOff>179917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pnas.org/cgi/doi/10/1073/pnas/1104473108"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9.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2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1.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2" Type="http://schemas.openxmlformats.org/officeDocument/2006/relationships/hyperlink" Target="http://www.eia.doe.gov/oiaf/aeo/aeoref_tab.html" TargetMode="External"/><Relationship Id="rId1" Type="http://schemas.openxmlformats.org/officeDocument/2006/relationships/hyperlink" Target="http://www.eia.doe.gov/aer/append_d.html"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B2:B9"/>
  <sheetViews>
    <sheetView tabSelected="1" workbookViewId="0"/>
  </sheetViews>
  <sheetFormatPr defaultRowHeight="15.75"/>
  <cols>
    <col min="1" max="1" width="3.5703125" customWidth="1"/>
    <col min="2" max="2" width="126.42578125" style="882" customWidth="1"/>
  </cols>
  <sheetData>
    <row r="2" spans="2:2" ht="25.5">
      <c r="B2" s="883" t="s">
        <v>763</v>
      </c>
    </row>
    <row r="3" spans="2:2" ht="3" customHeight="1" thickBot="1">
      <c r="B3" s="884"/>
    </row>
    <row r="4" spans="2:2" ht="77.25" customHeight="1" thickTop="1">
      <c r="B4" s="885" t="s">
        <v>769</v>
      </c>
    </row>
    <row r="5" spans="2:2" ht="16.5" thickBot="1">
      <c r="B5" s="886" t="s">
        <v>762</v>
      </c>
    </row>
    <row r="6" spans="2:2" ht="16.5" thickTop="1"/>
    <row r="7" spans="2:2" ht="99">
      <c r="B7" s="887" t="s">
        <v>764</v>
      </c>
    </row>
    <row r="8" spans="2:2" ht="16.5">
      <c r="B8" s="888"/>
    </row>
    <row r="9" spans="2:2" ht="33">
      <c r="B9" s="889" t="s">
        <v>768</v>
      </c>
    </row>
  </sheetData>
  <hyperlinks>
    <hyperlink ref="B5"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CI210"/>
  <sheetViews>
    <sheetView zoomScale="80" zoomScaleNormal="80" workbookViewId="0"/>
  </sheetViews>
  <sheetFormatPr defaultRowHeight="12.75"/>
  <cols>
    <col min="1" max="1" width="25.42578125" style="1" customWidth="1"/>
    <col min="2" max="2" width="9.28515625" style="1" customWidth="1"/>
    <col min="3" max="3" width="6.7109375" style="1" bestFit="1" customWidth="1"/>
    <col min="4" max="4" width="6.28515625" style="1" bestFit="1" customWidth="1"/>
    <col min="5" max="5" width="1.7109375" style="8" customWidth="1"/>
    <col min="6" max="6" width="1.7109375" style="4" customWidth="1"/>
    <col min="7" max="7" width="3.28515625" style="4" bestFit="1" customWidth="1"/>
    <col min="8" max="8" width="18.28515625" style="4" bestFit="1" customWidth="1"/>
    <col min="9" max="16" width="7.140625" style="20" customWidth="1"/>
    <col min="17" max="19" width="10.5703125" style="20" customWidth="1"/>
    <col min="20" max="20" width="7.140625" style="89" customWidth="1"/>
    <col min="21" max="21" width="1.7109375" style="8" customWidth="1"/>
    <col min="22" max="22" width="1.7109375" style="4" customWidth="1"/>
    <col min="23" max="23" width="83.28515625" style="4" customWidth="1"/>
    <col min="24" max="24" width="1.85546875" style="4" customWidth="1"/>
    <col min="25" max="25" width="18.5703125" style="1" customWidth="1"/>
    <col min="26" max="35" width="9.140625" style="1" customWidth="1"/>
    <col min="36" max="41" width="9.140625" style="1"/>
    <col min="42" max="42" width="10" style="668" customWidth="1"/>
    <col min="43" max="44" width="9.140625" style="171"/>
    <col min="45" max="45" width="9" style="171" customWidth="1"/>
    <col min="46" max="47" width="9.85546875" style="171" customWidth="1"/>
    <col min="48" max="49" width="9.140625" style="171"/>
    <col min="50" max="59" width="9.140625" style="1"/>
    <col min="60" max="62" width="9.140625" style="1" customWidth="1"/>
    <col min="63" max="68" width="9.140625" style="1"/>
    <col min="69" max="69" width="14.5703125" style="1" customWidth="1"/>
    <col min="70" max="78" width="9.140625" style="1"/>
    <col min="79" max="83" width="9.140625" style="1" customWidth="1"/>
    <col min="84" max="85" width="9.140625" style="1"/>
    <col min="86" max="86" width="33.140625" style="1" customWidth="1"/>
    <col min="87" max="16384" width="9.140625" style="1"/>
  </cols>
  <sheetData>
    <row r="1" spans="1:87" ht="26.25">
      <c r="A1" s="58" t="s">
        <v>234</v>
      </c>
    </row>
    <row r="3" spans="1:87" s="6" customFormat="1" ht="19.5" thickBot="1">
      <c r="A3" s="5" t="s">
        <v>757</v>
      </c>
      <c r="E3" s="7"/>
      <c r="G3" s="5" t="s">
        <v>758</v>
      </c>
      <c r="H3" s="5"/>
      <c r="I3" s="86"/>
      <c r="J3" s="86"/>
      <c r="K3" s="86"/>
      <c r="L3" s="86"/>
      <c r="M3" s="86"/>
      <c r="N3" s="86"/>
      <c r="O3" s="86"/>
      <c r="P3" s="86"/>
      <c r="Q3" s="86"/>
      <c r="R3" s="86"/>
      <c r="S3" s="86"/>
      <c r="T3" s="51"/>
      <c r="U3" s="7"/>
      <c r="W3" s="5" t="s">
        <v>759</v>
      </c>
      <c r="Y3" s="5"/>
      <c r="AP3" s="667" t="s">
        <v>760</v>
      </c>
      <c r="AQ3" s="86"/>
      <c r="AR3" s="86"/>
      <c r="AS3" s="86"/>
      <c r="AT3" s="86"/>
      <c r="AU3" s="86"/>
      <c r="AV3" s="86"/>
      <c r="AW3" s="86"/>
    </row>
    <row r="4" spans="1:87" ht="13.5" customHeight="1" thickTop="1">
      <c r="A4" s="135"/>
      <c r="B4" s="4"/>
      <c r="C4" s="4"/>
      <c r="D4" s="4"/>
      <c r="AP4" s="715"/>
      <c r="AQ4" s="20"/>
      <c r="AR4" s="20"/>
      <c r="AS4" s="20"/>
      <c r="AT4" s="20"/>
      <c r="AU4" s="20"/>
      <c r="AV4" s="20"/>
      <c r="AW4" s="20"/>
    </row>
    <row r="5" spans="1:87" ht="15" customHeight="1">
      <c r="A5" s="34" t="s">
        <v>761</v>
      </c>
      <c r="B5" s="35"/>
      <c r="C5" s="35"/>
      <c r="D5" s="35"/>
      <c r="I5" s="910" t="s">
        <v>665</v>
      </c>
      <c r="J5" s="911"/>
      <c r="K5" s="911"/>
      <c r="L5" s="911"/>
      <c r="M5" s="911"/>
      <c r="N5" s="911"/>
      <c r="O5" s="911"/>
      <c r="P5" s="912"/>
      <c r="Q5" s="910" t="s">
        <v>666</v>
      </c>
      <c r="R5" s="911"/>
      <c r="S5" s="912"/>
      <c r="T5" s="913" t="s">
        <v>44</v>
      </c>
      <c r="Y5" s="3" t="s">
        <v>45</v>
      </c>
      <c r="AR5" s="905" t="s">
        <v>459</v>
      </c>
      <c r="AS5" s="906"/>
      <c r="AT5" s="907"/>
      <c r="AU5" s="905" t="s">
        <v>572</v>
      </c>
      <c r="AV5" s="906"/>
      <c r="AW5" s="907"/>
      <c r="BQ5" s="171"/>
      <c r="CH5" s="171"/>
    </row>
    <row r="6" spans="1:87" ht="14.25" customHeight="1" thickBot="1">
      <c r="A6" s="36" t="s">
        <v>13</v>
      </c>
      <c r="B6" s="922" t="s">
        <v>12</v>
      </c>
      <c r="C6" s="922"/>
      <c r="D6" s="922"/>
      <c r="G6" s="6"/>
      <c r="H6" s="6"/>
      <c r="I6" s="676" t="s">
        <v>54</v>
      </c>
      <c r="J6" s="670" t="s">
        <v>2</v>
      </c>
      <c r="K6" s="826" t="s">
        <v>43</v>
      </c>
      <c r="L6" s="670" t="s">
        <v>25</v>
      </c>
      <c r="M6" s="670" t="s">
        <v>26</v>
      </c>
      <c r="N6" s="670" t="s">
        <v>27</v>
      </c>
      <c r="O6" s="670" t="s">
        <v>39</v>
      </c>
      <c r="P6" s="671" t="s">
        <v>3</v>
      </c>
      <c r="Q6" s="676" t="s">
        <v>626</v>
      </c>
      <c r="R6" s="670" t="s">
        <v>593</v>
      </c>
      <c r="S6" s="671" t="s">
        <v>625</v>
      </c>
      <c r="T6" s="914"/>
      <c r="Y6" s="23"/>
      <c r="Z6" s="24" t="str">
        <f>G7</f>
        <v>CV</v>
      </c>
      <c r="AA6" s="24" t="str">
        <f>G13</f>
        <v>HEV</v>
      </c>
      <c r="AB6" s="24" t="str">
        <f>G19</f>
        <v>PHEV20</v>
      </c>
      <c r="AC6" s="24" t="str">
        <f>G25</f>
        <v>PHEV60</v>
      </c>
      <c r="AD6" s="24" t="str">
        <f>G31</f>
        <v>BEV240</v>
      </c>
      <c r="AR6" s="661" t="s">
        <v>555</v>
      </c>
      <c r="AS6" s="658" t="s">
        <v>47</v>
      </c>
      <c r="AT6" s="171" t="s">
        <v>48</v>
      </c>
      <c r="AU6" s="661" t="s">
        <v>555</v>
      </c>
      <c r="AV6" s="20" t="s">
        <v>571</v>
      </c>
      <c r="AW6" s="660" t="s">
        <v>48</v>
      </c>
      <c r="BQ6" s="20"/>
      <c r="CH6" s="20"/>
      <c r="CI6" s="171"/>
    </row>
    <row r="7" spans="1:87" ht="15.75" customHeight="1" thickTop="1">
      <c r="A7" s="873" t="s">
        <v>475</v>
      </c>
      <c r="B7" s="917" t="s">
        <v>434</v>
      </c>
      <c r="C7" s="917"/>
      <c r="D7" s="917"/>
      <c r="G7" s="902" t="s">
        <v>8</v>
      </c>
      <c r="H7" s="98" t="s">
        <v>40</v>
      </c>
      <c r="I7" s="99">
        <f>Manufacturing!F20</f>
        <v>315.74998602918447</v>
      </c>
      <c r="J7" s="99">
        <f>Manufacturing!G20</f>
        <v>17.82730736054982</v>
      </c>
      <c r="K7" s="823">
        <f>Manufacturing!H20</f>
        <v>0</v>
      </c>
      <c r="L7" s="99">
        <f>Manufacturing!I20</f>
        <v>29.876306949910955</v>
      </c>
      <c r="M7" s="99">
        <f>Manufacturing!J20</f>
        <v>59.782245499168752</v>
      </c>
      <c r="N7" s="99">
        <f>Manufacturing!K20</f>
        <v>161.5457188050606</v>
      </c>
      <c r="O7" s="99">
        <f>Manufacturing!L20</f>
        <v>264.34696665071482</v>
      </c>
      <c r="P7" s="100">
        <f>Manufacturing!M20</f>
        <v>79.169030366360815</v>
      </c>
      <c r="Q7" s="779"/>
      <c r="R7" s="99"/>
      <c r="S7" s="100"/>
      <c r="T7" s="104">
        <f>SUM(I7:S7)</f>
        <v>928.29756166095035</v>
      </c>
      <c r="Y7" s="25" t="str">
        <f>H7</f>
        <v>Vehicle Production</v>
      </c>
      <c r="Z7" s="26">
        <f>T7</f>
        <v>928.29756166095035</v>
      </c>
      <c r="AA7" s="26">
        <f>T13</f>
        <v>914.51561363132316</v>
      </c>
      <c r="AB7" s="26">
        <f>T19</f>
        <v>925.09914068055332</v>
      </c>
      <c r="AC7" s="26">
        <f>T25</f>
        <v>925.09914068055332</v>
      </c>
      <c r="AD7" s="26">
        <f>T31</f>
        <v>925.09914068055332</v>
      </c>
      <c r="AR7" s="661"/>
      <c r="AS7" s="658" t="str">
        <f>Electricity!D23</f>
        <v>5% best</v>
      </c>
      <c r="AT7" s="171" t="str">
        <f>Electricity!D25</f>
        <v>95% Worst</v>
      </c>
      <c r="AU7" s="662"/>
      <c r="AV7" s="653" t="str">
        <f>AS7</f>
        <v>5% best</v>
      </c>
      <c r="AW7" s="664" t="str">
        <f>AT7</f>
        <v>95% Worst</v>
      </c>
      <c r="BQ7" s="20"/>
      <c r="CH7" s="20"/>
    </row>
    <row r="8" spans="1:87">
      <c r="A8" s="874" t="s">
        <v>411</v>
      </c>
      <c r="B8" s="921" t="s">
        <v>432</v>
      </c>
      <c r="C8" s="921"/>
      <c r="D8" s="921"/>
      <c r="G8" s="903"/>
      <c r="H8" s="98" t="s">
        <v>41</v>
      </c>
      <c r="I8" s="99">
        <f>Manufacturing!Q20</f>
        <v>11.818650495106972</v>
      </c>
      <c r="J8" s="99">
        <f>Manufacturing!R20</f>
        <v>3.5529185212048744E-2</v>
      </c>
      <c r="K8" s="823">
        <f>Manufacturing!S20</f>
        <v>0</v>
      </c>
      <c r="L8" s="99">
        <f>Manufacturing!T20</f>
        <v>0.81004533559386183</v>
      </c>
      <c r="M8" s="99">
        <f>Manufacturing!U20</f>
        <v>1.9833282269478389</v>
      </c>
      <c r="N8" s="99">
        <f>Manufacturing!V20</f>
        <v>3.8104855966174993</v>
      </c>
      <c r="O8" s="99">
        <f>Manufacturing!W20</f>
        <v>11.859137997166494</v>
      </c>
      <c r="P8" s="100">
        <f>Manufacturing!X20</f>
        <v>6.637951150916388E-2</v>
      </c>
      <c r="Q8" s="779"/>
      <c r="R8" s="99"/>
      <c r="S8" s="100"/>
      <c r="T8" s="104">
        <f t="shared" ref="T8:T36" si="0">SUM(I8:S8)</f>
        <v>30.383556348153878</v>
      </c>
      <c r="Y8" s="25" t="str">
        <f t="shared" ref="Y8:Y11" si="1">H8</f>
        <v>Battery Production</v>
      </c>
      <c r="Z8" s="26">
        <f t="shared" ref="Z8:Z11" si="2">T8</f>
        <v>30.383556348153878</v>
      </c>
      <c r="AA8" s="26">
        <f t="shared" ref="AA8:AA11" si="3">T14</f>
        <v>122.38061418914887</v>
      </c>
      <c r="AB8" s="26">
        <f t="shared" ref="AB8:AB11" si="4">T20</f>
        <v>140.61421564364801</v>
      </c>
      <c r="AC8" s="26">
        <f t="shared" ref="AC8:AC11" si="5">T26</f>
        <v>482.27378376666479</v>
      </c>
      <c r="AD8" s="26">
        <f t="shared" ref="AD8:AD11" si="6">T32</f>
        <v>1905.7046604868192</v>
      </c>
      <c r="AP8" s="893" t="s">
        <v>595</v>
      </c>
      <c r="AQ8" s="652" t="str">
        <f t="shared" ref="AQ8:AQ12" si="7">AQ98</f>
        <v>CV</v>
      </c>
      <c r="AR8" s="705">
        <f>$AK$23</f>
        <v>4801.5346124455709</v>
      </c>
      <c r="AS8" s="703">
        <f t="dataTable" ref="AS8:AT12" dt2D="0" dtr="1" r1="B7" ca="1"/>
        <v>4801.5346124455709</v>
      </c>
      <c r="AT8" s="652">
        <v>4801.5346124455709</v>
      </c>
      <c r="AU8" s="661">
        <f>AI$40</f>
        <v>44587.220125613137</v>
      </c>
      <c r="AV8" s="20">
        <f t="dataTable" ref="AV8:AW12" dt2D="0" dtr="1" r1="B7"/>
        <v>44587.220125613137</v>
      </c>
      <c r="AW8" s="660">
        <v>44587.220125613137</v>
      </c>
      <c r="BQ8" s="20"/>
      <c r="CH8" s="20"/>
    </row>
    <row r="9" spans="1:87">
      <c r="A9" s="875" t="s">
        <v>437</v>
      </c>
      <c r="B9" s="920" t="s">
        <v>410</v>
      </c>
      <c r="C9" s="920"/>
      <c r="D9" s="920"/>
      <c r="G9" s="903"/>
      <c r="H9" s="98" t="s">
        <v>64</v>
      </c>
      <c r="I9" s="99">
        <f>Vehicle!$N6*Gasoline!G10</f>
        <v>289.52229789655371</v>
      </c>
      <c r="J9" s="99">
        <f>Vehicle!$N6*Gasoline!H10</f>
        <v>2.3423783025693719</v>
      </c>
      <c r="K9" s="823">
        <f>Vehicle!$N6*Gasoline!I10</f>
        <v>0</v>
      </c>
      <c r="L9" s="99">
        <f>Vehicle!$N6*Gasoline!J10</f>
        <v>51.060379591911641</v>
      </c>
      <c r="M9" s="99">
        <f>Vehicle!$N6*Gasoline!K10</f>
        <v>15.932568602890987</v>
      </c>
      <c r="N9" s="99">
        <f>Vehicle!$N6*Gasoline!L10</f>
        <v>56.101418859376331</v>
      </c>
      <c r="O9" s="99">
        <f>Vehicle!$N6*Gasoline!M10</f>
        <v>136.67809946474708</v>
      </c>
      <c r="P9" s="100">
        <f>Vehicle!$N6*Gasoline!N10</f>
        <v>45.330113911093818</v>
      </c>
      <c r="Q9" s="779"/>
      <c r="R9" s="99"/>
      <c r="S9" s="100"/>
      <c r="T9" s="104">
        <f t="shared" si="0"/>
        <v>596.96725662914298</v>
      </c>
      <c r="Y9" s="25" t="str">
        <f t="shared" si="1"/>
        <v>Gasoline Production</v>
      </c>
      <c r="Z9" s="26">
        <f t="shared" si="2"/>
        <v>596.96725662914298</v>
      </c>
      <c r="AA9" s="26">
        <f t="shared" si="3"/>
        <v>426.40518330653072</v>
      </c>
      <c r="AB9" s="26">
        <f t="shared" si="4"/>
        <v>346.48404091512333</v>
      </c>
      <c r="AC9" s="26">
        <f t="shared" si="5"/>
        <v>300.08871219319559</v>
      </c>
      <c r="AD9" s="26">
        <f t="shared" si="6"/>
        <v>0</v>
      </c>
      <c r="AP9" s="894"/>
      <c r="AQ9" s="20" t="str">
        <f t="shared" si="7"/>
        <v>HEV</v>
      </c>
      <c r="AR9" s="661">
        <f>$AK$24</f>
        <v>3910.2272578777161</v>
      </c>
      <c r="AS9" s="658">
        <v>3910.2272578777161</v>
      </c>
      <c r="AT9" s="20">
        <v>3910.2272578777161</v>
      </c>
      <c r="AU9" s="661">
        <f>AI$41</f>
        <v>43587.2467938478</v>
      </c>
      <c r="AV9" s="20">
        <v>43587.2467938478</v>
      </c>
      <c r="AW9" s="660">
        <v>43587.2467938478</v>
      </c>
      <c r="BQ9" s="20"/>
      <c r="CH9" s="20"/>
    </row>
    <row r="10" spans="1:87">
      <c r="A10" s="873" t="s">
        <v>412</v>
      </c>
      <c r="B10" s="917" t="s">
        <v>410</v>
      </c>
      <c r="C10" s="917"/>
      <c r="D10" s="917"/>
      <c r="G10" s="903"/>
      <c r="H10" s="98" t="s">
        <v>42</v>
      </c>
      <c r="I10" s="99">
        <f>Electricity!F15</f>
        <v>0</v>
      </c>
      <c r="J10" s="99">
        <f>Electricity!G15</f>
        <v>0</v>
      </c>
      <c r="K10" s="823">
        <f>Electricity!H15</f>
        <v>0</v>
      </c>
      <c r="L10" s="99">
        <f>Electricity!I15</f>
        <v>0</v>
      </c>
      <c r="M10" s="99">
        <f>Electricity!J15</f>
        <v>0</v>
      </c>
      <c r="N10" s="99">
        <f>Electricity!K15</f>
        <v>0</v>
      </c>
      <c r="O10" s="99">
        <f>Electricity!L15</f>
        <v>0</v>
      </c>
      <c r="P10" s="100">
        <f>Electricity!M15</f>
        <v>0</v>
      </c>
      <c r="Q10" s="779"/>
      <c r="R10" s="99"/>
      <c r="S10" s="100"/>
      <c r="T10" s="104">
        <f t="shared" si="0"/>
        <v>0</v>
      </c>
      <c r="Y10" s="25" t="str">
        <f t="shared" si="1"/>
        <v>Electricity Production</v>
      </c>
      <c r="Z10" s="26">
        <f t="shared" si="2"/>
        <v>0</v>
      </c>
      <c r="AA10" s="26">
        <f t="shared" si="3"/>
        <v>0</v>
      </c>
      <c r="AB10" s="26">
        <f t="shared" si="4"/>
        <v>262.75061195019305</v>
      </c>
      <c r="AC10" s="26">
        <f t="shared" si="5"/>
        <v>772.01411979769307</v>
      </c>
      <c r="AD10" s="26">
        <f t="shared" si="6"/>
        <v>1762.0450960669243</v>
      </c>
      <c r="AP10" s="894"/>
      <c r="AQ10" s="20" t="str">
        <f t="shared" si="7"/>
        <v>PHEV20</v>
      </c>
      <c r="AR10" s="661">
        <f>$AK$25</f>
        <v>3632.7889258841947</v>
      </c>
      <c r="AS10" s="658">
        <v>3370.0383139340011</v>
      </c>
      <c r="AT10" s="20">
        <v>4087.298104563889</v>
      </c>
      <c r="AU10" s="661">
        <f>AI$42</f>
        <v>44342.078748103791</v>
      </c>
      <c r="AV10" s="20">
        <v>44079.328136153599</v>
      </c>
      <c r="AW10" s="660">
        <v>44796.58792678349</v>
      </c>
      <c r="BQ10" s="20"/>
      <c r="CH10" s="20"/>
    </row>
    <row r="11" spans="1:87" ht="12.75" customHeight="1">
      <c r="A11" s="873" t="s">
        <v>418</v>
      </c>
      <c r="B11" s="917" t="s">
        <v>556</v>
      </c>
      <c r="C11" s="917"/>
      <c r="D11" s="917"/>
      <c r="G11" s="903"/>
      <c r="H11" s="101" t="s">
        <v>576</v>
      </c>
      <c r="I11" s="102">
        <f>Vehicle!E6</f>
        <v>1407.6500251373261</v>
      </c>
      <c r="J11" s="102">
        <f>Vehicle!F6</f>
        <v>292.04749719495413</v>
      </c>
      <c r="K11" s="824">
        <f>Vehicle!G6</f>
        <v>0</v>
      </c>
      <c r="L11" s="102">
        <f>Vehicle!H6</f>
        <v>22.384922827257611</v>
      </c>
      <c r="M11" s="102">
        <f>Vehicle!I6</f>
        <v>31.36204100209612</v>
      </c>
      <c r="N11" s="102">
        <f>Vehicle!J6</f>
        <v>105.72172869636664</v>
      </c>
      <c r="O11" s="102">
        <f>Vehicle!K6</f>
        <v>0</v>
      </c>
      <c r="P11" s="103">
        <f>Vehicle!L6</f>
        <v>102.4797200743992</v>
      </c>
      <c r="Q11" s="780">
        <f>Vehicle!B6</f>
        <v>335.04288137349306</v>
      </c>
      <c r="R11" s="102">
        <f>Vehicle!C6</f>
        <v>829.22473140215186</v>
      </c>
      <c r="S11" s="103">
        <f>Vehicle!D6</f>
        <v>119.9726900992793</v>
      </c>
      <c r="T11" s="672">
        <f t="shared" si="0"/>
        <v>3245.8862378073241</v>
      </c>
      <c r="Y11" s="27" t="str">
        <f t="shared" si="1"/>
        <v>Vehicle Operation</v>
      </c>
      <c r="Z11" s="28">
        <f t="shared" si="2"/>
        <v>3245.8862378073241</v>
      </c>
      <c r="AA11" s="28">
        <f t="shared" si="3"/>
        <v>2446.9258467507134</v>
      </c>
      <c r="AB11" s="28">
        <f t="shared" si="4"/>
        <v>1957.8409166946767</v>
      </c>
      <c r="AC11" s="28">
        <f t="shared" si="5"/>
        <v>1666.414396861655</v>
      </c>
      <c r="AD11" s="28">
        <f t="shared" si="6"/>
        <v>74.626312977847732</v>
      </c>
      <c r="AP11" s="894"/>
      <c r="AQ11" s="20" t="str">
        <f t="shared" si="7"/>
        <v>PHEV60</v>
      </c>
      <c r="AR11" s="661">
        <f>$AK$26</f>
        <v>4145.8901532997616</v>
      </c>
      <c r="AS11" s="658">
        <v>3373.8760335020688</v>
      </c>
      <c r="AT11" s="20">
        <v>5481.3294921999168</v>
      </c>
      <c r="AU11" s="661">
        <f>AI$43</f>
        <v>52780.398428948298</v>
      </c>
      <c r="AV11" s="20">
        <v>52008.384309150606</v>
      </c>
      <c r="AW11" s="660">
        <v>54115.837767848454</v>
      </c>
      <c r="BQ11" s="20"/>
    </row>
    <row r="12" spans="1:87" ht="12.75" customHeight="1" thickBot="1">
      <c r="A12" s="874" t="s">
        <v>246</v>
      </c>
      <c r="B12" s="921" t="s">
        <v>247</v>
      </c>
      <c r="C12" s="921"/>
      <c r="D12" s="921"/>
      <c r="G12" s="904"/>
      <c r="H12" s="673" t="s">
        <v>44</v>
      </c>
      <c r="I12" s="674">
        <f t="shared" ref="I12:P12" si="8">SUM(I7:I11)</f>
        <v>2024.7409595581712</v>
      </c>
      <c r="J12" s="674">
        <f t="shared" si="8"/>
        <v>312.25271204328538</v>
      </c>
      <c r="K12" s="825">
        <f t="shared" si="8"/>
        <v>0</v>
      </c>
      <c r="L12" s="674">
        <f t="shared" si="8"/>
        <v>104.13165470467408</v>
      </c>
      <c r="M12" s="674">
        <f t="shared" si="8"/>
        <v>109.0601833311037</v>
      </c>
      <c r="N12" s="674">
        <f t="shared" si="8"/>
        <v>327.17935195742109</v>
      </c>
      <c r="O12" s="674">
        <f t="shared" si="8"/>
        <v>412.88420411262837</v>
      </c>
      <c r="P12" s="675">
        <f t="shared" si="8"/>
        <v>227.045243863363</v>
      </c>
      <c r="Q12" s="781">
        <f>SUM(Q7:Q11)</f>
        <v>335.04288137349306</v>
      </c>
      <c r="R12" s="781">
        <f t="shared" ref="R12:S12" si="9">SUM(R7:R11)</f>
        <v>829.22473140215186</v>
      </c>
      <c r="S12" s="781">
        <f t="shared" si="9"/>
        <v>119.9726900992793</v>
      </c>
      <c r="T12" s="675">
        <f t="shared" si="0"/>
        <v>4801.5346124455709</v>
      </c>
      <c r="Y12" s="29" t="s">
        <v>44</v>
      </c>
      <c r="Z12" s="30">
        <f>SUM(Z7:Z11)</f>
        <v>4801.5346124455718</v>
      </c>
      <c r="AA12" s="30">
        <f t="shared" ref="AA12:AC12" si="10">SUM(AA7:AA11)</f>
        <v>3910.2272578777161</v>
      </c>
      <c r="AB12" s="30">
        <f t="shared" si="10"/>
        <v>3632.7889258841947</v>
      </c>
      <c r="AC12" s="30">
        <f t="shared" si="10"/>
        <v>4145.8901532997616</v>
      </c>
      <c r="AD12" s="30">
        <f>SUM(AD7:AD11)</f>
        <v>4667.4752102121447</v>
      </c>
      <c r="AP12" s="895"/>
      <c r="AQ12" s="653" t="str">
        <f t="shared" si="7"/>
        <v>BEV240</v>
      </c>
      <c r="AR12" s="662">
        <f>$AK$27</f>
        <v>4667.4752102121438</v>
      </c>
      <c r="AS12" s="663">
        <v>2905.4301141452202</v>
      </c>
      <c r="AT12" s="653">
        <v>7715.4820767452402</v>
      </c>
      <c r="AU12" s="661">
        <f>AI$44</f>
        <v>67031.631929099676</v>
      </c>
      <c r="AV12" s="20">
        <v>65269.586833032758</v>
      </c>
      <c r="AW12" s="660">
        <v>70079.638795632782</v>
      </c>
      <c r="AX12" s="4"/>
      <c r="BQ12" s="20"/>
    </row>
    <row r="13" spans="1:87" ht="12.75" customHeight="1" thickTop="1">
      <c r="A13" s="873" t="s">
        <v>553</v>
      </c>
      <c r="B13" s="917" t="s">
        <v>434</v>
      </c>
      <c r="C13" s="917"/>
      <c r="D13" s="917"/>
      <c r="G13" s="903" t="s">
        <v>9</v>
      </c>
      <c r="H13" s="98" t="s">
        <v>40</v>
      </c>
      <c r="I13" s="99">
        <f>Manufacturing!F21</f>
        <v>287.3921752306137</v>
      </c>
      <c r="J13" s="99">
        <f>Manufacturing!G21</f>
        <v>15.665186225845471</v>
      </c>
      <c r="K13" s="823">
        <f>Manufacturing!H21</f>
        <v>0</v>
      </c>
      <c r="L13" s="99">
        <f>Manufacturing!I21</f>
        <v>27.768727601133531</v>
      </c>
      <c r="M13" s="99">
        <f>Manufacturing!J21</f>
        <v>52.039081304267995</v>
      </c>
      <c r="N13" s="99">
        <f>Manufacturing!K21</f>
        <v>141.69764167722886</v>
      </c>
      <c r="O13" s="99">
        <f>Manufacturing!L21</f>
        <v>311.29636934089109</v>
      </c>
      <c r="P13" s="100">
        <f>Manufacturing!M21</f>
        <v>78.656432251342636</v>
      </c>
      <c r="Q13" s="779"/>
      <c r="R13" s="99"/>
      <c r="S13" s="100"/>
      <c r="T13" s="104">
        <f t="shared" si="0"/>
        <v>914.51561363132316</v>
      </c>
      <c r="Y13" s="21"/>
      <c r="Z13" s="22"/>
      <c r="AA13" s="22"/>
      <c r="AB13" s="22"/>
      <c r="AC13" s="22"/>
      <c r="AD13" s="22"/>
      <c r="AR13" s="661"/>
      <c r="AS13" s="658" t="str">
        <f>Electricity!B26</f>
        <v>5% best</v>
      </c>
      <c r="AT13" s="171" t="str">
        <f>Electricity!B27</f>
        <v>95% worst</v>
      </c>
      <c r="AU13" s="662"/>
      <c r="AV13" s="653" t="str">
        <f>AS13</f>
        <v>5% best</v>
      </c>
      <c r="AW13" s="664" t="str">
        <f>AT13</f>
        <v>95% worst</v>
      </c>
      <c r="AX13" s="4"/>
      <c r="BQ13" s="20"/>
    </row>
    <row r="14" spans="1:87">
      <c r="A14" s="873" t="s">
        <v>552</v>
      </c>
      <c r="B14" s="917" t="s">
        <v>479</v>
      </c>
      <c r="C14" s="917"/>
      <c r="D14" s="917"/>
      <c r="G14" s="903"/>
      <c r="H14" s="98" t="s">
        <v>41</v>
      </c>
      <c r="I14" s="99">
        <f>Manufacturing!Q21</f>
        <v>29.841685170651537</v>
      </c>
      <c r="J14" s="99">
        <f>Manufacturing!R21</f>
        <v>0.24385250701366709</v>
      </c>
      <c r="K14" s="823">
        <f>Manufacturing!S21</f>
        <v>0</v>
      </c>
      <c r="L14" s="99">
        <f>Manufacturing!T21</f>
        <v>2.0123314763674829</v>
      </c>
      <c r="M14" s="99">
        <f>Manufacturing!U21</f>
        <v>4.4589206236553611</v>
      </c>
      <c r="N14" s="99">
        <f>Manufacturing!V21</f>
        <v>8.6284991307408578</v>
      </c>
      <c r="O14" s="99">
        <f>Manufacturing!W21</f>
        <v>77.031819172808028</v>
      </c>
      <c r="P14" s="100">
        <f>Manufacturing!X21</f>
        <v>0.16350610791194747</v>
      </c>
      <c r="Q14" s="779"/>
      <c r="R14" s="99"/>
      <c r="S14" s="100"/>
      <c r="T14" s="104">
        <f t="shared" si="0"/>
        <v>122.38061418914887</v>
      </c>
      <c r="Y14" s="21"/>
      <c r="Z14" s="22"/>
      <c r="AA14" s="22"/>
      <c r="AB14" s="22"/>
      <c r="AC14" s="22"/>
      <c r="AD14" s="22"/>
      <c r="AE14" s="4"/>
      <c r="AF14" s="4"/>
      <c r="AP14" s="893" t="s">
        <v>702</v>
      </c>
      <c r="AQ14" s="652" t="str">
        <f t="shared" ref="AQ14:AQ18" si="11">AQ92</f>
        <v>CV</v>
      </c>
      <c r="AR14" s="705">
        <f>$AK$23</f>
        <v>4801.5346124455709</v>
      </c>
      <c r="AS14" s="703">
        <f t="dataTable" ref="AS14:AT18" dt2D="0" dtr="1" r1="B8" ca="1"/>
        <v>4801.5346124455709</v>
      </c>
      <c r="AT14" s="652">
        <v>4801.5346124455709</v>
      </c>
      <c r="AU14" s="661">
        <f>AI$40</f>
        <v>44587.220125613137</v>
      </c>
      <c r="AV14" s="20">
        <f t="dataTable" ref="AV14:AW18" dt2D="0" dtr="1" r1="B8" ca="1"/>
        <v>44587.220125613137</v>
      </c>
      <c r="AW14" s="660">
        <v>44587.220125613137</v>
      </c>
      <c r="BQ14" s="20"/>
    </row>
    <row r="15" spans="1:87">
      <c r="A15" s="874" t="s">
        <v>533</v>
      </c>
      <c r="B15" s="921" t="s">
        <v>532</v>
      </c>
      <c r="C15" s="921"/>
      <c r="D15" s="921"/>
      <c r="G15" s="903"/>
      <c r="H15" s="98" t="s">
        <v>64</v>
      </c>
      <c r="I15" s="99">
        <f>Vehicle!$N7*Gasoline!G10</f>
        <v>206.80164135468124</v>
      </c>
      <c r="J15" s="99">
        <f>Vehicle!$N7*Gasoline!H10</f>
        <v>1.6731273589781226</v>
      </c>
      <c r="K15" s="823">
        <f>Vehicle!$N7*Gasoline!I10</f>
        <v>0</v>
      </c>
      <c r="L15" s="99">
        <f>Vehicle!$N7*Gasoline!J10</f>
        <v>36.471699708508311</v>
      </c>
      <c r="M15" s="99">
        <f>Vehicle!$N7*Gasoline!K10</f>
        <v>11.380406144922134</v>
      </c>
      <c r="N15" s="99">
        <f>Vehicle!$N7*Gasoline!L10</f>
        <v>40.072442042411666</v>
      </c>
      <c r="O15" s="99">
        <f>Vehicle!$N7*Gasoline!M10</f>
        <v>97.627213903390768</v>
      </c>
      <c r="P15" s="100">
        <f>Vehicle!$N7*Gasoline!N10</f>
        <v>32.378652793638437</v>
      </c>
      <c r="Q15" s="779"/>
      <c r="R15" s="99"/>
      <c r="S15" s="100"/>
      <c r="T15" s="104">
        <f t="shared" si="0"/>
        <v>426.40518330653072</v>
      </c>
      <c r="Y15" s="21"/>
      <c r="Z15" s="20"/>
      <c r="AA15" s="20"/>
      <c r="AB15" s="20"/>
      <c r="AC15" s="20"/>
      <c r="AD15" s="20"/>
      <c r="AE15" s="4"/>
      <c r="AF15" s="4"/>
      <c r="AP15" s="894"/>
      <c r="AQ15" s="20" t="str">
        <f t="shared" si="11"/>
        <v>HEV</v>
      </c>
      <c r="AR15" s="661">
        <f>$AK$24</f>
        <v>3910.2272578777161</v>
      </c>
      <c r="AS15" s="658">
        <v>3910.2272578777161</v>
      </c>
      <c r="AT15" s="20">
        <v>3910.2272578777161</v>
      </c>
      <c r="AU15" s="661">
        <f>AI$41</f>
        <v>43587.2467938478</v>
      </c>
      <c r="AV15" s="20">
        <v>43587.2467938478</v>
      </c>
      <c r="AW15" s="660">
        <v>43587.2467938478</v>
      </c>
      <c r="BQ15" s="20"/>
    </row>
    <row r="16" spans="1:87" ht="12.75" customHeight="1">
      <c r="A16" s="873" t="s">
        <v>226</v>
      </c>
      <c r="B16" s="917" t="s">
        <v>389</v>
      </c>
      <c r="C16" s="917"/>
      <c r="D16" s="917"/>
      <c r="G16" s="903"/>
      <c r="H16" s="98" t="s">
        <v>42</v>
      </c>
      <c r="I16" s="99">
        <f>Electricity!F16</f>
        <v>0</v>
      </c>
      <c r="J16" s="99">
        <f>Electricity!G16</f>
        <v>0</v>
      </c>
      <c r="K16" s="823">
        <f>Electricity!H16</f>
        <v>0</v>
      </c>
      <c r="L16" s="99">
        <f>Electricity!I16</f>
        <v>0</v>
      </c>
      <c r="M16" s="99">
        <f>Electricity!J16</f>
        <v>0</v>
      </c>
      <c r="N16" s="99">
        <f>Electricity!K16</f>
        <v>0</v>
      </c>
      <c r="O16" s="99">
        <f>Electricity!L16</f>
        <v>0</v>
      </c>
      <c r="P16" s="100">
        <f>Electricity!M16</f>
        <v>0</v>
      </c>
      <c r="Q16" s="779"/>
      <c r="R16" s="99"/>
      <c r="S16" s="100"/>
      <c r="T16" s="104">
        <f t="shared" si="0"/>
        <v>0</v>
      </c>
      <c r="Y16" s="89"/>
      <c r="Z16" s="31"/>
      <c r="AA16" s="31"/>
      <c r="AB16" s="31"/>
      <c r="AC16" s="31"/>
      <c r="AD16" s="31"/>
      <c r="AE16" s="4"/>
      <c r="AF16" s="4"/>
      <c r="AP16" s="894"/>
      <c r="AQ16" s="20" t="str">
        <f t="shared" si="11"/>
        <v>PHEV20</v>
      </c>
      <c r="AR16" s="661">
        <f>$AK$25</f>
        <v>3632.7889258841947</v>
      </c>
      <c r="AS16" s="658">
        <v>3632.7889258841947</v>
      </c>
      <c r="AT16" s="20">
        <v>3632.5115474197278</v>
      </c>
      <c r="AU16" s="661">
        <f>AI$42</f>
        <v>44342.078748103791</v>
      </c>
      <c r="AV16" s="20">
        <v>44342.078748103791</v>
      </c>
      <c r="AW16" s="660">
        <v>44341.801369639325</v>
      </c>
      <c r="BQ16" s="20"/>
    </row>
    <row r="17" spans="1:86">
      <c r="A17" s="873" t="s">
        <v>520</v>
      </c>
      <c r="B17" s="917">
        <v>12</v>
      </c>
      <c r="C17" s="917"/>
      <c r="D17" s="917"/>
      <c r="G17" s="903"/>
      <c r="H17" s="101" t="s">
        <v>576</v>
      </c>
      <c r="I17" s="102">
        <f>Vehicle!E7</f>
        <v>1009.3880874553493</v>
      </c>
      <c r="J17" s="102">
        <f>Vehicle!F7</f>
        <v>292.04749719495413</v>
      </c>
      <c r="K17" s="824">
        <f>Vehicle!G7</f>
        <v>0</v>
      </c>
      <c r="L17" s="102">
        <f>Vehicle!H7</f>
        <v>18.803335174896393</v>
      </c>
      <c r="M17" s="102">
        <f>Vehicle!I7</f>
        <v>31.36204100209612</v>
      </c>
      <c r="N17" s="102">
        <f>Vehicle!J7</f>
        <v>105.72172869636664</v>
      </c>
      <c r="O17" s="102">
        <f>Vehicle!K7</f>
        <v>0</v>
      </c>
      <c r="P17" s="103">
        <f>Vehicle!L7</f>
        <v>72.288655173533442</v>
      </c>
      <c r="Q17" s="780">
        <f>Vehicle!B7</f>
        <v>239.31634383820932</v>
      </c>
      <c r="R17" s="102">
        <f>Vehicle!C7</f>
        <v>592.3033795729657</v>
      </c>
      <c r="S17" s="103">
        <f>Vehicle!D7</f>
        <v>85.694778642342385</v>
      </c>
      <c r="T17" s="672">
        <f t="shared" si="0"/>
        <v>2446.9258467507134</v>
      </c>
      <c r="Y17" s="31"/>
      <c r="Z17" s="32"/>
      <c r="AA17" s="32"/>
      <c r="AB17" s="32"/>
      <c r="AC17" s="32"/>
      <c r="AD17" s="32"/>
      <c r="AE17" s="4"/>
      <c r="AF17" s="4"/>
      <c r="AP17" s="894"/>
      <c r="AQ17" s="20" t="str">
        <f t="shared" si="11"/>
        <v>PHEV60</v>
      </c>
      <c r="AR17" s="661">
        <f>$AK$26</f>
        <v>4145.8901532997616</v>
      </c>
      <c r="AS17" s="658">
        <v>4145.8901532997616</v>
      </c>
      <c r="AT17" s="20">
        <v>4145.0751596085702</v>
      </c>
      <c r="AU17" s="661">
        <f>AI$43</f>
        <v>52780.398428948298</v>
      </c>
      <c r="AV17" s="20">
        <v>52780.398428948298</v>
      </c>
      <c r="AW17" s="660">
        <v>52779.583435257104</v>
      </c>
      <c r="BQ17" s="20"/>
    </row>
    <row r="18" spans="1:86" ht="13.5" customHeight="1" thickBot="1">
      <c r="A18" s="873" t="s">
        <v>512</v>
      </c>
      <c r="B18" s="918">
        <v>12</v>
      </c>
      <c r="C18" s="918"/>
      <c r="D18" s="918"/>
      <c r="G18" s="904"/>
      <c r="H18" s="673" t="s">
        <v>44</v>
      </c>
      <c r="I18" s="674">
        <f t="shared" ref="I18" si="12">SUM(I13:I17)</f>
        <v>1533.4235892112956</v>
      </c>
      <c r="J18" s="674">
        <f t="shared" ref="J18" si="13">SUM(J13:J17)</f>
        <v>309.62966328679141</v>
      </c>
      <c r="K18" s="825">
        <f t="shared" ref="K18" si="14">SUM(K13:K17)</f>
        <v>0</v>
      </c>
      <c r="L18" s="674">
        <f t="shared" ref="L18" si="15">SUM(L13:L17)</f>
        <v>85.056093960905713</v>
      </c>
      <c r="M18" s="674">
        <f t="shared" ref="M18" si="16">SUM(M13:M17)</f>
        <v>99.240449074941608</v>
      </c>
      <c r="N18" s="674">
        <f t="shared" ref="N18" si="17">SUM(N13:N17)</f>
        <v>296.12031154674804</v>
      </c>
      <c r="O18" s="674">
        <f t="shared" ref="O18" si="18">SUM(O13:O17)</f>
        <v>485.95540241708989</v>
      </c>
      <c r="P18" s="675">
        <f t="shared" ref="P18" si="19">SUM(P13:P17)</f>
        <v>183.48724632642646</v>
      </c>
      <c r="Q18" s="781">
        <f>SUM(Q13:Q17)</f>
        <v>239.31634383820932</v>
      </c>
      <c r="R18" s="781">
        <f t="shared" ref="R18" si="20">SUM(R13:R17)</f>
        <v>592.3033795729657</v>
      </c>
      <c r="S18" s="781">
        <f t="shared" ref="S18" si="21">SUM(S13:S17)</f>
        <v>85.694778642342385</v>
      </c>
      <c r="T18" s="675">
        <f t="shared" si="0"/>
        <v>3910.2272578777161</v>
      </c>
      <c r="Y18" s="31"/>
      <c r="Z18" s="32"/>
      <c r="AA18" s="32"/>
      <c r="AB18" s="32"/>
      <c r="AC18" s="32"/>
      <c r="AD18" s="32"/>
      <c r="AE18" s="4"/>
      <c r="AF18" s="4"/>
      <c r="AP18" s="895"/>
      <c r="AQ18" s="653" t="str">
        <f t="shared" si="11"/>
        <v>BEV240</v>
      </c>
      <c r="AR18" s="662">
        <f>$AK$27</f>
        <v>4667.4752102121438</v>
      </c>
      <c r="AS18" s="663">
        <v>4667.4752102121438</v>
      </c>
      <c r="AT18" s="653">
        <v>4665.6150685384846</v>
      </c>
      <c r="AU18" s="661">
        <f>AI$44</f>
        <v>67031.631929099676</v>
      </c>
      <c r="AV18" s="20">
        <v>67031.631929099676</v>
      </c>
      <c r="AW18" s="660">
        <v>67029.771787426012</v>
      </c>
      <c r="BQ18" s="20"/>
    </row>
    <row r="19" spans="1:86" ht="12.75" customHeight="1" thickTop="1">
      <c r="A19" s="873" t="s">
        <v>285</v>
      </c>
      <c r="B19" s="917" t="s">
        <v>434</v>
      </c>
      <c r="C19" s="917"/>
      <c r="D19" s="917"/>
      <c r="G19" s="903" t="s">
        <v>10</v>
      </c>
      <c r="H19" s="98" t="s">
        <v>40</v>
      </c>
      <c r="I19" s="99">
        <f>Manufacturing!F22</f>
        <v>290.87308986036447</v>
      </c>
      <c r="J19" s="99">
        <f>Manufacturing!G22</f>
        <v>15.937544789563287</v>
      </c>
      <c r="K19" s="823">
        <f>Manufacturing!H22</f>
        <v>0</v>
      </c>
      <c r="L19" s="99">
        <f>Manufacturing!I22</f>
        <v>27.999601076612837</v>
      </c>
      <c r="M19" s="99">
        <f>Manufacturing!J22</f>
        <v>52.730606046682063</v>
      </c>
      <c r="N19" s="99">
        <f>Manufacturing!K22</f>
        <v>143.56446134298878</v>
      </c>
      <c r="O19" s="99">
        <f>Manufacturing!L22</f>
        <v>315.30861466271887</v>
      </c>
      <c r="P19" s="100">
        <f>Manufacturing!M22</f>
        <v>78.685222901623064</v>
      </c>
      <c r="Q19" s="779"/>
      <c r="R19" s="99"/>
      <c r="S19" s="100"/>
      <c r="T19" s="104">
        <f t="shared" si="0"/>
        <v>925.09914068055332</v>
      </c>
      <c r="Y19" s="31"/>
      <c r="Z19" s="32"/>
      <c r="AA19" s="32"/>
      <c r="AB19" s="32"/>
      <c r="AC19" s="32"/>
      <c r="AD19" s="32"/>
      <c r="AE19" s="4"/>
      <c r="AF19" s="4"/>
      <c r="AR19" s="661"/>
      <c r="AS19" s="658" t="str">
        <f>Gasoline!E29</f>
        <v>5% Best</v>
      </c>
      <c r="AT19" s="171" t="str">
        <f>Gasoline!E31</f>
        <v>95% Worst</v>
      </c>
      <c r="AU19" s="662"/>
      <c r="AV19" s="653" t="str">
        <f>AS19</f>
        <v>5% Best</v>
      </c>
      <c r="AW19" s="664" t="str">
        <f>AT19</f>
        <v>95% Worst</v>
      </c>
      <c r="BQ19" s="20"/>
    </row>
    <row r="20" spans="1:86">
      <c r="A20" s="874" t="s">
        <v>14</v>
      </c>
      <c r="B20" s="921" t="s">
        <v>49</v>
      </c>
      <c r="C20" s="921"/>
      <c r="D20" s="921"/>
      <c r="G20" s="903"/>
      <c r="H20" s="98" t="s">
        <v>41</v>
      </c>
      <c r="I20" s="99">
        <f>Manufacturing!Q22</f>
        <v>44.01433256072476</v>
      </c>
      <c r="J20" s="99">
        <f>Manufacturing!R22</f>
        <v>0.1329256395813459</v>
      </c>
      <c r="K20" s="823">
        <f>Manufacturing!S22</f>
        <v>0</v>
      </c>
      <c r="L20" s="99">
        <f>Manufacturing!T22</f>
        <v>3.1011682362824153</v>
      </c>
      <c r="M20" s="99">
        <f>Manufacturing!U22</f>
        <v>7.0690208159365415</v>
      </c>
      <c r="N20" s="99">
        <f>Manufacturing!V22</f>
        <v>14.941361759951404</v>
      </c>
      <c r="O20" s="99">
        <f>Manufacturing!W22</f>
        <v>71.118932010652401</v>
      </c>
      <c r="P20" s="100">
        <f>Manufacturing!X22</f>
        <v>0.23647462051913681</v>
      </c>
      <c r="Q20" s="779"/>
      <c r="R20" s="99"/>
      <c r="S20" s="100"/>
      <c r="T20" s="104">
        <f t="shared" si="0"/>
        <v>140.61421564364801</v>
      </c>
      <c r="Y20" s="31"/>
      <c r="Z20" s="32"/>
      <c r="AA20" s="32"/>
      <c r="AB20" s="32"/>
      <c r="AC20" s="32"/>
      <c r="AD20" s="32"/>
      <c r="AE20" s="4"/>
      <c r="AF20" s="4"/>
      <c r="AP20" s="893" t="s">
        <v>565</v>
      </c>
      <c r="AQ20" s="652" t="str">
        <f t="shared" ref="AQ20:AQ24" si="22">AQ8</f>
        <v>CV</v>
      </c>
      <c r="AR20" s="705">
        <f>$AK$23</f>
        <v>4801.5346124455709</v>
      </c>
      <c r="AS20" s="703">
        <f t="dataTable" ref="AS20:AT24" dt2D="0" dtr="1" r1="B9" ca="1"/>
        <v>4614.9106552413714</v>
      </c>
      <c r="AT20" s="652">
        <v>5909.9276043831615</v>
      </c>
      <c r="AU20" s="661">
        <f>AI$40</f>
        <v>44587.220125613137</v>
      </c>
      <c r="AV20" s="20">
        <f t="dataTable" ref="AV20:AW24" dt2D="0" dtr="1" r1="B9" ca="1"/>
        <v>44400.596168408942</v>
      </c>
      <c r="AW20" s="660">
        <v>45695.613117550733</v>
      </c>
      <c r="BQ20" s="20"/>
    </row>
    <row r="21" spans="1:86">
      <c r="A21" s="873" t="s">
        <v>225</v>
      </c>
      <c r="B21" s="917" t="s">
        <v>287</v>
      </c>
      <c r="C21" s="917"/>
      <c r="D21" s="917"/>
      <c r="G21" s="903"/>
      <c r="H21" s="98" t="s">
        <v>64</v>
      </c>
      <c r="I21" s="99">
        <f>Vehicle!$N8*Gasoline!G10</f>
        <v>168.04080055692094</v>
      </c>
      <c r="J21" s="99">
        <f>Vehicle!$N8*Gasoline!H10</f>
        <v>1.3595330239868344</v>
      </c>
      <c r="K21" s="823">
        <f>Vehicle!$N8*Gasoline!I10</f>
        <v>0</v>
      </c>
      <c r="L21" s="99">
        <f>Vehicle!$N8*Gasoline!J10</f>
        <v>29.63580741691548</v>
      </c>
      <c r="M21" s="99">
        <f>Vehicle!$N8*Gasoline!K10</f>
        <v>9.2473761171737845</v>
      </c>
      <c r="N21" s="99">
        <f>Vehicle!$N8*Gasoline!L10</f>
        <v>32.561662455708763</v>
      </c>
      <c r="O21" s="99">
        <f>Vehicle!$N8*Gasoline!M10</f>
        <v>79.328940877848552</v>
      </c>
      <c r="P21" s="100">
        <f>Vehicle!$N8*Gasoline!N10</f>
        <v>26.309920466568993</v>
      </c>
      <c r="Q21" s="779"/>
      <c r="R21" s="99"/>
      <c r="S21" s="100"/>
      <c r="T21" s="104">
        <f t="shared" si="0"/>
        <v>346.48404091512333</v>
      </c>
      <c r="Y21" s="3" t="s">
        <v>224</v>
      </c>
      <c r="AP21" s="894"/>
      <c r="AQ21" s="20" t="str">
        <f t="shared" si="22"/>
        <v>HEV</v>
      </c>
      <c r="AR21" s="661">
        <f>$AK$24</f>
        <v>3910.2272578777161</v>
      </c>
      <c r="AS21" s="658">
        <v>3776.9244313032887</v>
      </c>
      <c r="AT21" s="20">
        <v>4701.9365378331386</v>
      </c>
      <c r="AU21" s="661">
        <f>AI$41</f>
        <v>43587.2467938478</v>
      </c>
      <c r="AV21" s="20">
        <v>43453.943967273372</v>
      </c>
      <c r="AW21" s="660">
        <v>44378.956073803223</v>
      </c>
      <c r="BQ21" s="20"/>
    </row>
    <row r="22" spans="1:86" ht="13.5" thickBot="1">
      <c r="A22" s="873" t="s">
        <v>280</v>
      </c>
      <c r="B22" s="917" t="s">
        <v>284</v>
      </c>
      <c r="C22" s="917"/>
      <c r="D22" s="917"/>
      <c r="G22" s="903"/>
      <c r="H22" s="98" t="s">
        <v>42</v>
      </c>
      <c r="I22" s="99">
        <f>Electricity!F17</f>
        <v>149.3217274420262</v>
      </c>
      <c r="J22" s="99">
        <f>Electricity!G17</f>
        <v>6.102421820231043E-3</v>
      </c>
      <c r="K22" s="823">
        <f>Electricity!H17</f>
        <v>0</v>
      </c>
      <c r="L22" s="99">
        <f>Electricity!I17</f>
        <v>8.4429102897687525</v>
      </c>
      <c r="M22" s="99">
        <f>Electricity!J17</f>
        <v>3.5935974791211405</v>
      </c>
      <c r="N22" s="99">
        <f>Electricity!K17</f>
        <v>10.088974341697343</v>
      </c>
      <c r="O22" s="99">
        <f>Electricity!L17</f>
        <v>91.233668227584616</v>
      </c>
      <c r="P22" s="100">
        <f>Electricity!M17</f>
        <v>6.3631748174748703E-2</v>
      </c>
      <c r="Q22" s="779"/>
      <c r="R22" s="99"/>
      <c r="S22" s="100"/>
      <c r="T22" s="104">
        <f t="shared" si="0"/>
        <v>262.75061195019305</v>
      </c>
      <c r="Y22" s="92"/>
      <c r="Z22" s="87" t="str">
        <f>I6</f>
        <v>GHGs</v>
      </c>
      <c r="AA22" s="87" t="str">
        <f t="shared" ref="AA22:AJ22" si="23">J6</f>
        <v>CO</v>
      </c>
      <c r="AB22" s="87" t="str">
        <f t="shared" si="23"/>
        <v>NH3</v>
      </c>
      <c r="AC22" s="87" t="str">
        <f t="shared" si="23"/>
        <v>NOx</v>
      </c>
      <c r="AD22" s="87" t="str">
        <f t="shared" si="23"/>
        <v>PM10</v>
      </c>
      <c r="AE22" s="87" t="str">
        <f t="shared" si="23"/>
        <v>PM2.5</v>
      </c>
      <c r="AF22" s="87" t="str">
        <f t="shared" si="23"/>
        <v>SO2</v>
      </c>
      <c r="AG22" s="90" t="str">
        <f t="shared" si="23"/>
        <v>VOC</v>
      </c>
      <c r="AH22" s="87" t="str">
        <f t="shared" si="23"/>
        <v>Disruption</v>
      </c>
      <c r="AI22" s="87" t="str">
        <f t="shared" si="23"/>
        <v>Monopsony</v>
      </c>
      <c r="AJ22" s="90" t="str">
        <f t="shared" si="23"/>
        <v>Military</v>
      </c>
      <c r="AK22" s="51" t="s">
        <v>44</v>
      </c>
      <c r="AL22" s="794"/>
      <c r="AM22" s="794"/>
      <c r="AP22" s="894"/>
      <c r="AQ22" s="20" t="str">
        <f t="shared" si="22"/>
        <v>PHEV20</v>
      </c>
      <c r="AR22" s="661">
        <f>$AK$25</f>
        <v>3632.7889258841947</v>
      </c>
      <c r="AS22" s="658">
        <v>3524.4710539982125</v>
      </c>
      <c r="AT22" s="20">
        <v>4276.1081004350353</v>
      </c>
      <c r="AU22" s="661">
        <f>AI$42</f>
        <v>44342.078748103791</v>
      </c>
      <c r="AV22" s="20">
        <v>44233.760876217813</v>
      </c>
      <c r="AW22" s="660">
        <v>44985.397922654636</v>
      </c>
      <c r="BQ22" s="20"/>
    </row>
    <row r="23" spans="1:86" ht="13.5" thickTop="1">
      <c r="A23" s="873" t="s">
        <v>279</v>
      </c>
      <c r="B23" s="917" t="s">
        <v>284</v>
      </c>
      <c r="C23" s="917"/>
      <c r="D23" s="917"/>
      <c r="G23" s="903"/>
      <c r="H23" s="101" t="s">
        <v>576</v>
      </c>
      <c r="I23" s="102">
        <f>Vehicle!E8</f>
        <v>818.74042762098486</v>
      </c>
      <c r="J23" s="102">
        <f>Vehicle!F8</f>
        <v>209.13521274130665</v>
      </c>
      <c r="K23" s="824">
        <f>Vehicle!G8</f>
        <v>0</v>
      </c>
      <c r="L23" s="102">
        <f>Vehicle!H8</f>
        <v>13.465068318743308</v>
      </c>
      <c r="M23" s="102">
        <f>Vehicle!I8</f>
        <v>28.840368419298553</v>
      </c>
      <c r="N23" s="102">
        <f>Vehicle!J8</f>
        <v>90.511729316181587</v>
      </c>
      <c r="O23" s="102">
        <f>Vehicle!K8</f>
        <v>0</v>
      </c>
      <c r="P23" s="103">
        <f>Vehicle!L8</f>
        <v>51.765905969767296</v>
      </c>
      <c r="Q23" s="780">
        <f>Vehicle!B8</f>
        <v>194.46127091397832</v>
      </c>
      <c r="R23" s="102">
        <f>Vehicle!C8</f>
        <v>481.28793090818442</v>
      </c>
      <c r="S23" s="103">
        <f>Vehicle!D8</f>
        <v>69.633002486231831</v>
      </c>
      <c r="T23" s="672">
        <f t="shared" si="0"/>
        <v>1957.8409166946767</v>
      </c>
      <c r="Y23" s="93" t="s">
        <v>8</v>
      </c>
      <c r="Z23" s="26">
        <f t="shared" ref="Z23" si="24">I12</f>
        <v>2024.7409595581712</v>
      </c>
      <c r="AA23" s="26">
        <f t="shared" ref="AA23" si="25">J12</f>
        <v>312.25271204328538</v>
      </c>
      <c r="AB23" s="26">
        <f t="shared" ref="AB23" si="26">K12</f>
        <v>0</v>
      </c>
      <c r="AC23" s="26">
        <f t="shared" ref="AC23" si="27">L12</f>
        <v>104.13165470467408</v>
      </c>
      <c r="AD23" s="26">
        <f t="shared" ref="AD23" si="28">M12</f>
        <v>109.0601833311037</v>
      </c>
      <c r="AE23" s="26">
        <f t="shared" ref="AE23" si="29">N12</f>
        <v>327.17935195742109</v>
      </c>
      <c r="AF23" s="26">
        <f t="shared" ref="AF23" si="30">O12</f>
        <v>412.88420411262837</v>
      </c>
      <c r="AG23" s="91">
        <f t="shared" ref="AG23" si="31">P12</f>
        <v>227.045243863363</v>
      </c>
      <c r="AH23" s="26">
        <f t="shared" ref="AH23" si="32">Q12</f>
        <v>335.04288137349306</v>
      </c>
      <c r="AI23" s="26">
        <f t="shared" ref="AI23" si="33">R12</f>
        <v>829.22473140215186</v>
      </c>
      <c r="AJ23" s="91">
        <f t="shared" ref="AJ23" si="34">S12</f>
        <v>119.9726900992793</v>
      </c>
      <c r="AK23" s="609">
        <f>T12</f>
        <v>4801.5346124455709</v>
      </c>
      <c r="AL23" s="609"/>
      <c r="AM23" s="609"/>
      <c r="AN23" s="746"/>
      <c r="AP23" s="894"/>
      <c r="AQ23" s="20" t="str">
        <f t="shared" si="22"/>
        <v>PHEV60</v>
      </c>
      <c r="AR23" s="661">
        <f>$AK$26</f>
        <v>4145.8901532997616</v>
      </c>
      <c r="AS23" s="658">
        <v>4052.0763932318496</v>
      </c>
      <c r="AT23" s="20">
        <v>4703.0668189558955</v>
      </c>
      <c r="AU23" s="661">
        <f>AI$43</f>
        <v>52780.398428948298</v>
      </c>
      <c r="AV23" s="20">
        <v>52686.584668880387</v>
      </c>
      <c r="AW23" s="660">
        <v>53337.575094604428</v>
      </c>
      <c r="BQ23" s="20"/>
    </row>
    <row r="24" spans="1:86" ht="12.75" customHeight="1" thickBot="1">
      <c r="A24" s="874" t="s">
        <v>648</v>
      </c>
      <c r="B24" s="921" t="s">
        <v>49</v>
      </c>
      <c r="C24" s="921"/>
      <c r="D24" s="921"/>
      <c r="G24" s="904"/>
      <c r="H24" s="673" t="s">
        <v>44</v>
      </c>
      <c r="I24" s="674">
        <f t="shared" ref="I24" si="35">SUM(I19:I23)</f>
        <v>1470.9903780410214</v>
      </c>
      <c r="J24" s="674">
        <f t="shared" ref="J24" si="36">SUM(J19:J23)</f>
        <v>226.57131861625834</v>
      </c>
      <c r="K24" s="825">
        <f t="shared" ref="K24" si="37">SUM(K19:K23)</f>
        <v>0</v>
      </c>
      <c r="L24" s="674">
        <f t="shared" ref="L24" si="38">SUM(L19:L23)</f>
        <v>82.644555338322789</v>
      </c>
      <c r="M24" s="674">
        <f t="shared" ref="M24" si="39">SUM(M19:M23)</f>
        <v>101.48096887821208</v>
      </c>
      <c r="N24" s="674">
        <f t="shared" ref="N24" si="40">SUM(N19:N23)</f>
        <v>291.66818921652788</v>
      </c>
      <c r="O24" s="674">
        <f t="shared" ref="O24" si="41">SUM(O19:O23)</f>
        <v>556.99015577880436</v>
      </c>
      <c r="P24" s="675">
        <f t="shared" ref="P24" si="42">SUM(P19:P23)</f>
        <v>157.06115570665324</v>
      </c>
      <c r="Q24" s="781">
        <f>SUM(Q19:Q23)</f>
        <v>194.46127091397832</v>
      </c>
      <c r="R24" s="781">
        <f t="shared" ref="R24" si="43">SUM(R19:R23)</f>
        <v>481.28793090818442</v>
      </c>
      <c r="S24" s="781">
        <f t="shared" ref="S24" si="44">SUM(S19:S23)</f>
        <v>69.633002486231831</v>
      </c>
      <c r="T24" s="675">
        <f t="shared" si="0"/>
        <v>3632.7889258841947</v>
      </c>
      <c r="Y24" s="93" t="s">
        <v>9</v>
      </c>
      <c r="Z24" s="26">
        <f t="shared" ref="Z24" si="45">I18</f>
        <v>1533.4235892112956</v>
      </c>
      <c r="AA24" s="26">
        <f t="shared" ref="AA24" si="46">J18</f>
        <v>309.62966328679141</v>
      </c>
      <c r="AB24" s="26">
        <f t="shared" ref="AB24" si="47">K18</f>
        <v>0</v>
      </c>
      <c r="AC24" s="26">
        <f t="shared" ref="AC24" si="48">L18</f>
        <v>85.056093960905713</v>
      </c>
      <c r="AD24" s="26">
        <f t="shared" ref="AD24" si="49">M18</f>
        <v>99.240449074941608</v>
      </c>
      <c r="AE24" s="26">
        <f t="shared" ref="AE24" si="50">N18</f>
        <v>296.12031154674804</v>
      </c>
      <c r="AF24" s="26">
        <f t="shared" ref="AF24" si="51">O18</f>
        <v>485.95540241708989</v>
      </c>
      <c r="AG24" s="91">
        <f t="shared" ref="AG24" si="52">P18</f>
        <v>183.48724632642646</v>
      </c>
      <c r="AH24" s="26">
        <f t="shared" ref="AH24" si="53">Q18</f>
        <v>239.31634383820932</v>
      </c>
      <c r="AI24" s="26">
        <f t="shared" ref="AI24" si="54">R18</f>
        <v>592.3033795729657</v>
      </c>
      <c r="AJ24" s="91">
        <f t="shared" ref="AJ24" si="55">S18</f>
        <v>85.694778642342385</v>
      </c>
      <c r="AK24" s="609">
        <f>T18</f>
        <v>3910.2272578777161</v>
      </c>
      <c r="AL24" s="609"/>
      <c r="AM24" s="609"/>
      <c r="AN24" s="746"/>
      <c r="AP24" s="895"/>
      <c r="AQ24" s="653" t="str">
        <f t="shared" si="22"/>
        <v>BEV240</v>
      </c>
      <c r="AR24" s="662">
        <f>$AK$27</f>
        <v>4667.4752102121438</v>
      </c>
      <c r="AS24" s="663">
        <v>4667.4752102121438</v>
      </c>
      <c r="AT24" s="653">
        <v>4667.4752102121438</v>
      </c>
      <c r="AU24" s="661">
        <f>AI$44</f>
        <v>67031.631929099676</v>
      </c>
      <c r="AV24" s="20">
        <v>67031.631929099676</v>
      </c>
      <c r="AW24" s="660">
        <v>67031.631929099676</v>
      </c>
    </row>
    <row r="25" spans="1:86" ht="12.75" customHeight="1" thickTop="1">
      <c r="A25" s="875" t="s">
        <v>616</v>
      </c>
      <c r="B25" s="920" t="s">
        <v>657</v>
      </c>
      <c r="C25" s="920"/>
      <c r="D25" s="920"/>
      <c r="G25" s="903" t="s">
        <v>11</v>
      </c>
      <c r="H25" s="98" t="s">
        <v>40</v>
      </c>
      <c r="I25" s="99">
        <f>Manufacturing!F23</f>
        <v>290.87308986036447</v>
      </c>
      <c r="J25" s="99">
        <f>Manufacturing!G23</f>
        <v>15.937544789563287</v>
      </c>
      <c r="K25" s="823">
        <f>Manufacturing!H23</f>
        <v>0</v>
      </c>
      <c r="L25" s="99">
        <f>Manufacturing!I23</f>
        <v>27.999601076612837</v>
      </c>
      <c r="M25" s="99">
        <f>Manufacturing!J23</f>
        <v>52.730606046682063</v>
      </c>
      <c r="N25" s="99">
        <f>Manufacturing!K23</f>
        <v>143.56446134298878</v>
      </c>
      <c r="O25" s="99">
        <f>Manufacturing!L23</f>
        <v>315.30861466271887</v>
      </c>
      <c r="P25" s="100">
        <f>Manufacturing!M23</f>
        <v>78.685222901623064</v>
      </c>
      <c r="Q25" s="779"/>
      <c r="R25" s="99"/>
      <c r="S25" s="100"/>
      <c r="T25" s="104">
        <f t="shared" si="0"/>
        <v>925.09914068055332</v>
      </c>
      <c r="Y25" s="93" t="s">
        <v>10</v>
      </c>
      <c r="Z25" s="26">
        <f t="shared" ref="Z25" si="56">I24</f>
        <v>1470.9903780410214</v>
      </c>
      <c r="AA25" s="26">
        <f t="shared" ref="AA25" si="57">J24</f>
        <v>226.57131861625834</v>
      </c>
      <c r="AB25" s="26">
        <f t="shared" ref="AB25" si="58">K24</f>
        <v>0</v>
      </c>
      <c r="AC25" s="26">
        <f t="shared" ref="AC25" si="59">L24</f>
        <v>82.644555338322789</v>
      </c>
      <c r="AD25" s="26">
        <f t="shared" ref="AD25" si="60">M24</f>
        <v>101.48096887821208</v>
      </c>
      <c r="AE25" s="26">
        <f t="shared" ref="AE25" si="61">N24</f>
        <v>291.66818921652788</v>
      </c>
      <c r="AF25" s="26">
        <f t="shared" ref="AF25" si="62">O24</f>
        <v>556.99015577880436</v>
      </c>
      <c r="AG25" s="91">
        <f t="shared" ref="AG25" si="63">P24</f>
        <v>157.06115570665324</v>
      </c>
      <c r="AH25" s="26">
        <f t="shared" ref="AH25" si="64">Q24</f>
        <v>194.46127091397832</v>
      </c>
      <c r="AI25" s="26">
        <f t="shared" ref="AI25" si="65">R24</f>
        <v>481.28793090818442</v>
      </c>
      <c r="AJ25" s="91">
        <f t="shared" ref="AJ25" si="66">S24</f>
        <v>69.633002486231831</v>
      </c>
      <c r="AK25" s="609">
        <f>T24</f>
        <v>3632.7889258841947</v>
      </c>
      <c r="AL25" s="609"/>
      <c r="AM25" s="609"/>
      <c r="AN25" s="746"/>
      <c r="AR25" s="661"/>
      <c r="AS25" s="658" t="str">
        <f>Gasoline!E87</f>
        <v>5% Best</v>
      </c>
      <c r="AT25" s="171" t="str">
        <f>Gasoline!E89</f>
        <v>95% Worst</v>
      </c>
      <c r="AU25" s="662"/>
      <c r="AV25" s="653" t="str">
        <f>AS25</f>
        <v>5% Best</v>
      </c>
      <c r="AW25" s="664" t="str">
        <f>AT25</f>
        <v>95% Worst</v>
      </c>
      <c r="BR25" s="25"/>
      <c r="BS25" s="692"/>
      <c r="BT25" s="684" t="s">
        <v>49</v>
      </c>
      <c r="BU25" s="26" t="s">
        <v>558</v>
      </c>
      <c r="BV25" s="26" t="s">
        <v>559</v>
      </c>
      <c r="BW25" s="680" t="str">
        <f>Z39</f>
        <v>Base Vehicle</v>
      </c>
      <c r="BX25" s="32" t="str">
        <f t="shared" ref="BX25:CA25" si="67">AA39</f>
        <v>Initial Battery</v>
      </c>
      <c r="BY25" s="32" t="str">
        <f t="shared" si="67"/>
        <v>Replacement Battery</v>
      </c>
      <c r="BZ25" s="32" t="str">
        <f t="shared" si="67"/>
        <v>Gasoline</v>
      </c>
      <c r="CA25" s="32" t="str">
        <f t="shared" si="67"/>
        <v>Electricity</v>
      </c>
      <c r="CB25" s="832" t="str">
        <f t="shared" ref="CB25:CB30" si="68">AE39</f>
        <v>Charger Cost</v>
      </c>
      <c r="CC25" s="832" t="str">
        <f t="shared" ref="CC25:CC30" si="69">AF39</f>
        <v>Scheduled Maintenance</v>
      </c>
      <c r="CD25" s="32" t="str">
        <f t="shared" ref="CD25:CD30" si="70">AG39</f>
        <v>Air Emissions Damages</v>
      </c>
      <c r="CE25" s="832" t="s">
        <v>645</v>
      </c>
      <c r="CF25" s="26" t="s">
        <v>563</v>
      </c>
      <c r="CG25" s="26" t="s">
        <v>564</v>
      </c>
    </row>
    <row r="26" spans="1:86">
      <c r="A26" s="873" t="s">
        <v>614</v>
      </c>
      <c r="B26" s="917" t="s">
        <v>621</v>
      </c>
      <c r="C26" s="917"/>
      <c r="D26" s="917"/>
      <c r="G26" s="903"/>
      <c r="H26" s="98" t="s">
        <v>41</v>
      </c>
      <c r="I26" s="99">
        <f>Manufacturing!Q23</f>
        <v>150.95883874088184</v>
      </c>
      <c r="J26" s="99">
        <f>Manufacturing!R23</f>
        <v>0.45590377094561929</v>
      </c>
      <c r="K26" s="823">
        <f>Manufacturing!S23</f>
        <v>0</v>
      </c>
      <c r="L26" s="99">
        <f>Manufacturing!T23</f>
        <v>10.636279785531599</v>
      </c>
      <c r="M26" s="99">
        <f>Manufacturing!U23</f>
        <v>24.245083619900957</v>
      </c>
      <c r="N26" s="99">
        <f>Manufacturing!V23</f>
        <v>51.245366889928867</v>
      </c>
      <c r="O26" s="99">
        <f>Manufacturing!W23</f>
        <v>243.92125846751753</v>
      </c>
      <c r="P26" s="100">
        <f>Manufacturing!X23</f>
        <v>0.81105249195835527</v>
      </c>
      <c r="Q26" s="779"/>
      <c r="R26" s="99"/>
      <c r="S26" s="100"/>
      <c r="T26" s="104">
        <f t="shared" si="0"/>
        <v>482.27378376666479</v>
      </c>
      <c r="Y26" s="93" t="s">
        <v>11</v>
      </c>
      <c r="Z26" s="26">
        <f t="shared" ref="Z26" si="71">I30</f>
        <v>1733.929370510444</v>
      </c>
      <c r="AA26" s="26">
        <f t="shared" ref="AA26" si="72">J30</f>
        <v>173.83427687643018</v>
      </c>
      <c r="AB26" s="26">
        <f t="shared" ref="AB26" si="73">K30</f>
        <v>0</v>
      </c>
      <c r="AC26" s="26">
        <f t="shared" ref="AC26" si="74">L30</f>
        <v>99.170110306203711</v>
      </c>
      <c r="AD26" s="26">
        <f t="shared" ref="AD26" si="75">M30</f>
        <v>122.77531596720763</v>
      </c>
      <c r="AE26" s="26">
        <f t="shared" ref="AE26" si="76">N30</f>
        <v>333.46407461874128</v>
      </c>
      <c r="AF26" s="26">
        <f t="shared" ref="AF26" si="77">O30</f>
        <v>895.9992717436171</v>
      </c>
      <c r="AG26" s="91">
        <f t="shared" ref="AG26" si="78">P30</f>
        <v>141.14460618054966</v>
      </c>
      <c r="AH26" s="26">
        <f t="shared" ref="AH26" si="79">Q30</f>
        <v>168.42228059307067</v>
      </c>
      <c r="AI26" s="26">
        <f t="shared" ref="AI26" si="80">R30</f>
        <v>416.84192726136246</v>
      </c>
      <c r="AJ26" s="91">
        <f t="shared" ref="AJ26" si="81">S30</f>
        <v>60.308919242135367</v>
      </c>
      <c r="AK26" s="609">
        <f>T30</f>
        <v>4145.8901532997616</v>
      </c>
      <c r="AL26" s="609"/>
      <c r="AM26" s="609"/>
      <c r="AN26" s="746"/>
      <c r="AP26" s="893" t="s">
        <v>703</v>
      </c>
      <c r="AQ26" s="652" t="str">
        <f t="shared" ref="AQ26:AQ30" si="82">AQ14</f>
        <v>CV</v>
      </c>
      <c r="AR26" s="705">
        <f>$AK$23</f>
        <v>4801.5346124455709</v>
      </c>
      <c r="AS26" s="703">
        <f t="dataTable" ref="AS26:AT30" dt2D="0" dtr="1" r1="B10" ca="1"/>
        <v>4731.3169783034009</v>
      </c>
      <c r="AT26" s="652">
        <v>4919.7581646215976</v>
      </c>
      <c r="AU26" s="661">
        <f>AI$40</f>
        <v>44587.220125613137</v>
      </c>
      <c r="AV26" s="20">
        <f t="dataTable" ref="AV26:AW30" dt2D="0" dtr="1" r1="B10" ca="1"/>
        <v>44517.002491470972</v>
      </c>
      <c r="AW26" s="660">
        <v>44705.443677789168</v>
      </c>
      <c r="BR26" s="890" t="s">
        <v>562</v>
      </c>
      <c r="BS26" s="681" t="str">
        <f>Y40</f>
        <v>CV</v>
      </c>
      <c r="BT26" s="682"/>
      <c r="BU26" s="682"/>
      <c r="BV26" s="682"/>
      <c r="BW26" s="697">
        <f>Z40</f>
        <v>23019.490021615933</v>
      </c>
      <c r="BX26" s="694">
        <f t="shared" ref="BX26:CA26" si="83">AA40</f>
        <v>0</v>
      </c>
      <c r="BY26" s="694">
        <f t="shared" si="83"/>
        <v>0</v>
      </c>
      <c r="BZ26" s="694">
        <f t="shared" si="83"/>
        <v>12386.239508244789</v>
      </c>
      <c r="CA26" s="694">
        <f t="shared" si="83"/>
        <v>0</v>
      </c>
      <c r="CB26" s="694">
        <f t="shared" si="68"/>
        <v>0</v>
      </c>
      <c r="CC26" s="694">
        <f t="shared" si="69"/>
        <v>4379.9559833068452</v>
      </c>
      <c r="CD26" s="694">
        <f t="shared" si="70"/>
        <v>3517.2943095706469</v>
      </c>
      <c r="CE26" s="694">
        <f>AH40</f>
        <v>1284.2403028749243</v>
      </c>
      <c r="CF26" s="682"/>
      <c r="CG26" s="682"/>
    </row>
    <row r="27" spans="1:86">
      <c r="A27" s="874" t="s">
        <v>615</v>
      </c>
      <c r="B27" s="921" t="s">
        <v>82</v>
      </c>
      <c r="C27" s="921"/>
      <c r="D27" s="921"/>
      <c r="G27" s="903"/>
      <c r="H27" s="98" t="s">
        <v>64</v>
      </c>
      <c r="I27" s="99">
        <f>Vehicle!$N9*Gasoline!G10</f>
        <v>145.53959628805225</v>
      </c>
      <c r="J27" s="99">
        <f>Vehicle!$N9*Gasoline!H10</f>
        <v>1.1774871745168525</v>
      </c>
      <c r="K27" s="823">
        <f>Vehicle!$N9*Gasoline!I10</f>
        <v>0</v>
      </c>
      <c r="L27" s="99">
        <f>Vehicle!$N9*Gasoline!J10</f>
        <v>25.667477379503001</v>
      </c>
      <c r="M27" s="99">
        <f>Vehicle!$N9*Gasoline!K10</f>
        <v>8.0091226794730854</v>
      </c>
      <c r="N27" s="99">
        <f>Vehicle!$N9*Gasoline!L10</f>
        <v>28.201551007646042</v>
      </c>
      <c r="O27" s="99">
        <f>Vehicle!$N9*Gasoline!M10</f>
        <v>68.706540263178539</v>
      </c>
      <c r="P27" s="100">
        <f>Vehicle!$N9*Gasoline!N10</f>
        <v>22.786937400825824</v>
      </c>
      <c r="Q27" s="779"/>
      <c r="R27" s="99"/>
      <c r="S27" s="100"/>
      <c r="T27" s="104">
        <f t="shared" si="0"/>
        <v>300.08871219319559</v>
      </c>
      <c r="Y27" s="93" t="s">
        <v>554</v>
      </c>
      <c r="Z27" s="26">
        <f t="shared" ref="Z27" si="84">I36</f>
        <v>1823.8017153265005</v>
      </c>
      <c r="AA27" s="26">
        <f t="shared" ref="AA27" si="85">J36</f>
        <v>17.869358676122928</v>
      </c>
      <c r="AB27" s="26">
        <f t="shared" ref="AB27" si="86">K36</f>
        <v>0</v>
      </c>
      <c r="AC27" s="26">
        <f t="shared" ref="AC27" si="87">L36</f>
        <v>128.73367902891709</v>
      </c>
      <c r="AD27" s="26">
        <f t="shared" ref="AD27" si="88">M36</f>
        <v>199.86763473738299</v>
      </c>
      <c r="AE27" s="26">
        <f t="shared" ref="AE27" si="89">N36</f>
        <v>475.91261374108592</v>
      </c>
      <c r="AF27" s="26">
        <f t="shared" ref="AF27" si="90">O36</f>
        <v>1938.8143695072956</v>
      </c>
      <c r="AG27" s="91">
        <f t="shared" ref="AG27" si="91">P36</f>
        <v>82.475839194839338</v>
      </c>
      <c r="AH27" s="26">
        <f t="shared" ref="AH27" si="92">Q36</f>
        <v>0</v>
      </c>
      <c r="AI27" s="26">
        <f t="shared" ref="AI27" si="93">R36</f>
        <v>0</v>
      </c>
      <c r="AJ27" s="91">
        <f t="shared" ref="AJ27" si="94">S36</f>
        <v>0</v>
      </c>
      <c r="AK27" s="609">
        <f>T36</f>
        <v>4667.4752102121438</v>
      </c>
      <c r="AL27" s="609"/>
      <c r="AM27" s="609"/>
      <c r="AN27" s="746"/>
      <c r="AP27" s="894"/>
      <c r="AQ27" s="20" t="str">
        <f t="shared" si="82"/>
        <v>HEV</v>
      </c>
      <c r="AR27" s="661">
        <f>$AK$24</f>
        <v>3910.2272578777161</v>
      </c>
      <c r="AS27" s="658">
        <v>3860.0718049190232</v>
      </c>
      <c r="AT27" s="20">
        <v>3994.672652289164</v>
      </c>
      <c r="AU27" s="661">
        <f>AI$41</f>
        <v>43587.2467938478</v>
      </c>
      <c r="AV27" s="20">
        <v>43537.091340889107</v>
      </c>
      <c r="AW27" s="660">
        <v>43671.692188259251</v>
      </c>
      <c r="BR27" s="891"/>
      <c r="BS27" s="91" t="str">
        <f t="shared" ref="BS27:BS30" si="95">Y41</f>
        <v>HEV</v>
      </c>
      <c r="BT27" s="32"/>
      <c r="BU27" s="32"/>
      <c r="BV27" s="32"/>
      <c r="BW27" s="698">
        <f t="shared" ref="BW27:BW30" si="96">Z41</f>
        <v>24799.941964129226</v>
      </c>
      <c r="BX27" s="695">
        <f t="shared" ref="BX27:BX30" si="97">AA41</f>
        <v>2067.978343167611</v>
      </c>
      <c r="BY27" s="695">
        <f t="shared" ref="BY27:BY30" si="98">AB41</f>
        <v>0</v>
      </c>
      <c r="BZ27" s="695">
        <f t="shared" ref="BZ27:BZ30" si="99">AC41</f>
        <v>8847.3139344605643</v>
      </c>
      <c r="CA27" s="695">
        <f t="shared" ref="CA27:CA30" si="100">AD41</f>
        <v>0</v>
      </c>
      <c r="CB27" s="695">
        <f t="shared" si="68"/>
        <v>0</v>
      </c>
      <c r="CC27" s="695">
        <f t="shared" si="69"/>
        <v>3961.7852942126851</v>
      </c>
      <c r="CD27" s="695">
        <f t="shared" si="70"/>
        <v>2992.9127558241985</v>
      </c>
      <c r="CE27" s="695">
        <f t="shared" ref="CE27:CE30" si="101">AH41</f>
        <v>917.31450205351746</v>
      </c>
      <c r="CF27" s="32"/>
      <c r="CG27" s="32"/>
    </row>
    <row r="28" spans="1:86">
      <c r="A28" s="876" t="s">
        <v>46</v>
      </c>
      <c r="B28" s="919" t="s">
        <v>17</v>
      </c>
      <c r="C28" s="919"/>
      <c r="D28" s="919"/>
      <c r="G28" s="903"/>
      <c r="H28" s="98" t="s">
        <v>42</v>
      </c>
      <c r="I28" s="99">
        <f>Electricity!F18</f>
        <v>438.73725401514599</v>
      </c>
      <c r="J28" s="99">
        <f>Electricity!G18</f>
        <v>1.793014210399994E-2</v>
      </c>
      <c r="K28" s="823">
        <f>Electricity!H18</f>
        <v>0</v>
      </c>
      <c r="L28" s="99">
        <f>Electricity!I18</f>
        <v>24.806967745986711</v>
      </c>
      <c r="M28" s="99">
        <f>Electricity!J18</f>
        <v>10.558711830048237</v>
      </c>
      <c r="N28" s="99">
        <f>Electricity!K18</f>
        <v>29.643434845904128</v>
      </c>
      <c r="O28" s="99">
        <f>Electricity!L18</f>
        <v>268.06285835020202</v>
      </c>
      <c r="P28" s="100">
        <f>Electricity!M18</f>
        <v>0.18696286830201236</v>
      </c>
      <c r="Q28" s="779"/>
      <c r="R28" s="99"/>
      <c r="S28" s="100"/>
      <c r="T28" s="104">
        <f t="shared" si="0"/>
        <v>772.01411979769307</v>
      </c>
      <c r="AP28" s="894"/>
      <c r="AQ28" s="20" t="str">
        <f t="shared" si="82"/>
        <v>PHEV20</v>
      </c>
      <c r="AR28" s="661">
        <f>$AK$25</f>
        <v>3632.7889258841947</v>
      </c>
      <c r="AS28" s="658">
        <v>3592.0341116947907</v>
      </c>
      <c r="AT28" s="20">
        <v>3701.4067162812603</v>
      </c>
      <c r="AU28" s="661">
        <f>AI$42</f>
        <v>44342.078748103791</v>
      </c>
      <c r="AV28" s="20">
        <v>44301.323933914391</v>
      </c>
      <c r="AW28" s="660">
        <v>44410.696538500859</v>
      </c>
      <c r="BR28" s="891"/>
      <c r="BS28" s="91" t="str">
        <f t="shared" si="95"/>
        <v>PHEV20</v>
      </c>
      <c r="BT28" s="32"/>
      <c r="BU28" s="32"/>
      <c r="BV28" s="32"/>
      <c r="BW28" s="698">
        <f t="shared" si="96"/>
        <v>25665.680796868604</v>
      </c>
      <c r="BX28" s="695">
        <f t="shared" si="97"/>
        <v>2631.9724367587778</v>
      </c>
      <c r="BY28" s="695">
        <f t="shared" si="98"/>
        <v>0</v>
      </c>
      <c r="BZ28" s="695">
        <f t="shared" si="99"/>
        <v>7189.0614919024256</v>
      </c>
      <c r="CA28" s="695">
        <f t="shared" si="100"/>
        <v>787.62568701449754</v>
      </c>
      <c r="CB28" s="695">
        <f t="shared" si="68"/>
        <v>1200</v>
      </c>
      <c r="CC28" s="695">
        <f t="shared" si="69"/>
        <v>3234.9494096753001</v>
      </c>
      <c r="CD28" s="695">
        <f t="shared" si="70"/>
        <v>2887.4067215758</v>
      </c>
      <c r="CE28" s="695">
        <f t="shared" si="101"/>
        <v>745.38220430839453</v>
      </c>
      <c r="CF28" s="32"/>
      <c r="CG28" s="32"/>
    </row>
    <row r="29" spans="1:86" ht="14.25" customHeight="1">
      <c r="A29" s="35"/>
      <c r="B29" s="35"/>
      <c r="C29" s="35"/>
      <c r="D29" s="35"/>
      <c r="G29" s="903"/>
      <c r="H29" s="101" t="s">
        <v>576</v>
      </c>
      <c r="I29" s="102">
        <f>Vehicle!E9</f>
        <v>707.82059160599943</v>
      </c>
      <c r="J29" s="102">
        <f>Vehicle!F9</f>
        <v>156.24541099930042</v>
      </c>
      <c r="K29" s="824">
        <f>Vehicle!G9</f>
        <v>0</v>
      </c>
      <c r="L29" s="102">
        <f>Vehicle!H9</f>
        <v>10.059784318569569</v>
      </c>
      <c r="M29" s="102">
        <f>Vehicle!I9</f>
        <v>27.231791791103284</v>
      </c>
      <c r="N29" s="102">
        <f>Vehicle!J9</f>
        <v>80.809260532273498</v>
      </c>
      <c r="O29" s="102">
        <f>Vehicle!K9</f>
        <v>0</v>
      </c>
      <c r="P29" s="103">
        <f>Vehicle!L9</f>
        <v>38.674430517840392</v>
      </c>
      <c r="Q29" s="780">
        <f>Vehicle!B9</f>
        <v>168.42228059307067</v>
      </c>
      <c r="R29" s="102">
        <f>Vehicle!C9</f>
        <v>416.84192726136246</v>
      </c>
      <c r="S29" s="103">
        <f>Vehicle!D9</f>
        <v>60.308919242135367</v>
      </c>
      <c r="T29" s="672">
        <f t="shared" si="0"/>
        <v>1666.414396861655</v>
      </c>
      <c r="Z29" s="1" t="s">
        <v>713</v>
      </c>
      <c r="AB29" s="4"/>
      <c r="AC29" s="4"/>
      <c r="AD29" s="4"/>
      <c r="AE29" s="4"/>
      <c r="AF29" s="4"/>
      <c r="AG29" s="4"/>
      <c r="AH29" s="4"/>
      <c r="AI29" s="4"/>
      <c r="AJ29" s="4"/>
      <c r="AK29" s="4"/>
      <c r="AL29" s="4"/>
      <c r="AM29" s="4"/>
      <c r="AN29" s="4"/>
      <c r="AO29" s="4"/>
      <c r="AP29" s="894"/>
      <c r="AQ29" s="20" t="str">
        <f t="shared" si="82"/>
        <v>PHEV60</v>
      </c>
      <c r="AR29" s="661">
        <f>$AK$26</f>
        <v>4145.8901532997616</v>
      </c>
      <c r="AS29" s="658">
        <v>4110.5925399566786</v>
      </c>
      <c r="AT29" s="20">
        <v>4205.3198006203502</v>
      </c>
      <c r="AU29" s="661">
        <f>AI$43</f>
        <v>52780.398428948298</v>
      </c>
      <c r="AV29" s="20">
        <v>52745.100815605212</v>
      </c>
      <c r="AW29" s="660">
        <v>52839.828076268888</v>
      </c>
      <c r="BR29" s="891"/>
      <c r="BS29" s="91" t="str">
        <f t="shared" si="95"/>
        <v>PHEV60</v>
      </c>
      <c r="BT29" s="32"/>
      <c r="BU29" s="32"/>
      <c r="BV29" s="32"/>
      <c r="BW29" s="698">
        <f t="shared" si="96"/>
        <v>25728.873412397024</v>
      </c>
      <c r="BX29" s="695">
        <f t="shared" si="97"/>
        <v>8730.0598352515044</v>
      </c>
      <c r="BY29" s="695">
        <f t="shared" si="98"/>
        <v>0</v>
      </c>
      <c r="BZ29" s="695">
        <f t="shared" si="99"/>
        <v>6226.4230100894329</v>
      </c>
      <c r="CA29" s="695">
        <f t="shared" si="100"/>
        <v>2314.2026082352727</v>
      </c>
      <c r="CB29" s="695">
        <f t="shared" si="68"/>
        <v>2400</v>
      </c>
      <c r="CC29" s="695">
        <f t="shared" si="69"/>
        <v>3234.9494096753001</v>
      </c>
      <c r="CD29" s="695">
        <f t="shared" si="70"/>
        <v>3500.3170262031931</v>
      </c>
      <c r="CE29" s="695">
        <f t="shared" si="101"/>
        <v>645.57312709656856</v>
      </c>
      <c r="CF29" s="32"/>
      <c r="CG29" s="32"/>
    </row>
    <row r="30" spans="1:86" ht="13.5" customHeight="1" thickBot="1">
      <c r="A30" s="34" t="s">
        <v>227</v>
      </c>
      <c r="B30" s="35"/>
      <c r="C30" s="35"/>
      <c r="D30" s="35"/>
      <c r="G30" s="904"/>
      <c r="H30" s="673" t="s">
        <v>44</v>
      </c>
      <c r="I30" s="674">
        <f t="shared" ref="I30" si="102">SUM(I25:I29)</f>
        <v>1733.929370510444</v>
      </c>
      <c r="J30" s="674">
        <f t="shared" ref="J30" si="103">SUM(J25:J29)</f>
        <v>173.83427687643018</v>
      </c>
      <c r="K30" s="825">
        <f t="shared" ref="K30" si="104">SUM(K25:K29)</f>
        <v>0</v>
      </c>
      <c r="L30" s="674">
        <f t="shared" ref="L30" si="105">SUM(L25:L29)</f>
        <v>99.170110306203711</v>
      </c>
      <c r="M30" s="674">
        <f t="shared" ref="M30" si="106">SUM(M25:M29)</f>
        <v>122.77531596720763</v>
      </c>
      <c r="N30" s="674">
        <f t="shared" ref="N30" si="107">SUM(N25:N29)</f>
        <v>333.46407461874128</v>
      </c>
      <c r="O30" s="674">
        <f t="shared" ref="O30" si="108">SUM(O25:O29)</f>
        <v>895.9992717436171</v>
      </c>
      <c r="P30" s="675">
        <f t="shared" ref="P30" si="109">SUM(P25:P29)</f>
        <v>141.14460618054966</v>
      </c>
      <c r="Q30" s="781">
        <f>SUM(Q25:Q29)</f>
        <v>168.42228059307067</v>
      </c>
      <c r="R30" s="781">
        <f t="shared" ref="R30" si="110">SUM(R25:R29)</f>
        <v>416.84192726136246</v>
      </c>
      <c r="S30" s="781">
        <f t="shared" ref="S30" si="111">SUM(S25:S29)</f>
        <v>60.308919242135367</v>
      </c>
      <c r="T30" s="675">
        <f t="shared" si="0"/>
        <v>4145.8901532997616</v>
      </c>
      <c r="Y30" s="4" t="s">
        <v>557</v>
      </c>
      <c r="Z30" s="20">
        <f>AK23-AK24</f>
        <v>891.30735456785487</v>
      </c>
      <c r="AA30" s="20">
        <f>SUM(Z23:AG23)-SUM(Z$24:AG$24)</f>
        <v>524.38155374644839</v>
      </c>
      <c r="AB30" s="4"/>
      <c r="AC30" s="4"/>
      <c r="AD30" s="4"/>
      <c r="AE30" s="4"/>
      <c r="AF30" s="4"/>
      <c r="AG30" s="4"/>
      <c r="AH30" s="4"/>
      <c r="AI30" s="4"/>
      <c r="AJ30" s="4"/>
      <c r="AK30" s="4"/>
      <c r="AL30" s="4"/>
      <c r="AM30" s="4"/>
      <c r="AN30" s="4"/>
      <c r="AO30" s="4"/>
      <c r="AP30" s="895"/>
      <c r="AQ30" s="653" t="str">
        <f t="shared" si="82"/>
        <v>BEV240</v>
      </c>
      <c r="AR30" s="662">
        <f>$AK$27</f>
        <v>4667.4752102121438</v>
      </c>
      <c r="AS30" s="663">
        <v>4667.4752102121438</v>
      </c>
      <c r="AT30" s="653">
        <v>4667.4752102121438</v>
      </c>
      <c r="AU30" s="661">
        <f>AI$44</f>
        <v>67031.631929099676</v>
      </c>
      <c r="AV30" s="20">
        <v>67031.631929099676</v>
      </c>
      <c r="AW30" s="660">
        <v>67031.631929099676</v>
      </c>
      <c r="BR30" s="892"/>
      <c r="BS30" s="683" t="str">
        <f t="shared" si="95"/>
        <v>BEV240</v>
      </c>
      <c r="BT30" s="28"/>
      <c r="BU30" s="28"/>
      <c r="BV30" s="28"/>
      <c r="BW30" s="699">
        <f t="shared" si="96"/>
        <v>20496.524846643686</v>
      </c>
      <c r="BX30" s="696">
        <f t="shared" si="97"/>
        <v>31953.346041946596</v>
      </c>
      <c r="BY30" s="696">
        <f t="shared" si="98"/>
        <v>0</v>
      </c>
      <c r="BZ30" s="696">
        <f t="shared" si="99"/>
        <v>0</v>
      </c>
      <c r="CA30" s="696">
        <f t="shared" si="100"/>
        <v>5281.9362399936672</v>
      </c>
      <c r="CB30" s="696">
        <f t="shared" si="68"/>
        <v>2400</v>
      </c>
      <c r="CC30" s="696">
        <f t="shared" si="69"/>
        <v>2232.3495903035837</v>
      </c>
      <c r="CD30" s="696">
        <f t="shared" si="70"/>
        <v>4667.4752102121438</v>
      </c>
      <c r="CE30" s="696">
        <f t="shared" si="101"/>
        <v>0</v>
      </c>
      <c r="CF30" s="28"/>
      <c r="CG30" s="28"/>
      <c r="CH30" s="171"/>
    </row>
    <row r="31" spans="1:86" ht="14.25" thickTop="1" thickBot="1">
      <c r="A31" s="47" t="s">
        <v>5</v>
      </c>
      <c r="B31" s="47" t="s">
        <v>6</v>
      </c>
      <c r="C31" s="47" t="s">
        <v>7</v>
      </c>
      <c r="D31" s="47" t="s">
        <v>100</v>
      </c>
      <c r="G31" s="903" t="s">
        <v>554</v>
      </c>
      <c r="H31" s="98" t="s">
        <v>40</v>
      </c>
      <c r="I31" s="99">
        <f>Manufacturing!F24</f>
        <v>290.87308986036447</v>
      </c>
      <c r="J31" s="99">
        <f>Manufacturing!G24</f>
        <v>15.937544789563287</v>
      </c>
      <c r="K31" s="823">
        <f>Manufacturing!H24</f>
        <v>0</v>
      </c>
      <c r="L31" s="99">
        <f>Manufacturing!I24</f>
        <v>27.999601076612837</v>
      </c>
      <c r="M31" s="99">
        <f>Manufacturing!J24</f>
        <v>52.730606046682063</v>
      </c>
      <c r="N31" s="99">
        <f>Manufacturing!K24</f>
        <v>143.56446134298878</v>
      </c>
      <c r="O31" s="99">
        <f>Manufacturing!L24</f>
        <v>315.30861466271887</v>
      </c>
      <c r="P31" s="100">
        <f>Manufacturing!M24</f>
        <v>78.685222901623064</v>
      </c>
      <c r="Q31" s="779"/>
      <c r="R31" s="99"/>
      <c r="S31" s="100"/>
      <c r="T31" s="104">
        <f t="shared" si="0"/>
        <v>925.09914068055332</v>
      </c>
      <c r="Y31" s="4" t="s">
        <v>492</v>
      </c>
      <c r="Z31" s="20">
        <f>AK25-AK24</f>
        <v>-277.43833199352139</v>
      </c>
      <c r="AA31" s="20">
        <f>SUM(Z25:AG25)-SUM(Z$24:AG$24)</f>
        <v>-105.50603424839846</v>
      </c>
      <c r="AR31" s="661"/>
      <c r="AS31" s="658" t="str">
        <f>Gasoline!D13</f>
        <v>0% Oil Sands GREET</v>
      </c>
      <c r="AT31" s="171" t="str">
        <f>Gasoline!D15</f>
        <v>100% Oil Sands GREET</v>
      </c>
      <c r="AU31" s="662"/>
      <c r="AV31" s="653" t="str">
        <f>AS31</f>
        <v>0% Oil Sands GREET</v>
      </c>
      <c r="AW31" s="664" t="str">
        <f>AT31</f>
        <v>100% Oil Sands GREET</v>
      </c>
      <c r="BR31" s="689" t="s">
        <v>241</v>
      </c>
      <c r="BS31" s="91"/>
      <c r="BT31" s="32"/>
      <c r="BU31" s="32"/>
      <c r="BV31" s="32"/>
      <c r="BW31" s="691"/>
      <c r="BX31" s="689"/>
      <c r="BY31" s="689"/>
      <c r="BZ31" s="689"/>
      <c r="CA31" s="689"/>
      <c r="CB31" s="830"/>
      <c r="CC31" s="830"/>
      <c r="CD31" s="689"/>
      <c r="CE31" s="830"/>
      <c r="CF31" s="32"/>
      <c r="CG31" s="32"/>
    </row>
    <row r="32" spans="1:86" ht="12.75" customHeight="1" thickTop="1">
      <c r="A32" s="877" t="s">
        <v>0</v>
      </c>
      <c r="B32" s="49">
        <v>12</v>
      </c>
      <c r="C32" s="48" t="s">
        <v>4</v>
      </c>
      <c r="D32" s="48" t="s">
        <v>243</v>
      </c>
      <c r="G32" s="903"/>
      <c r="H32" s="98" t="s">
        <v>41</v>
      </c>
      <c r="I32" s="99">
        <f>Manufacturing!Q24</f>
        <v>531.55467766600873</v>
      </c>
      <c r="J32" s="99">
        <f>Manufacturing!R24</f>
        <v>1.8908901286179916</v>
      </c>
      <c r="K32" s="823">
        <f>Manufacturing!S24</f>
        <v>0</v>
      </c>
      <c r="L32" s="99">
        <f>Manufacturing!T24</f>
        <v>44.114652550394844</v>
      </c>
      <c r="M32" s="99">
        <f>Manufacturing!U24</f>
        <v>100.55803923117122</v>
      </c>
      <c r="N32" s="99">
        <f>Manufacturing!V24</f>
        <v>212.54344571133632</v>
      </c>
      <c r="O32" s="99">
        <f>Manufacturing!W24</f>
        <v>1011.6790629734064</v>
      </c>
      <c r="P32" s="100">
        <f>Manufacturing!X24</f>
        <v>3.3638922258838004</v>
      </c>
      <c r="Q32" s="779"/>
      <c r="R32" s="99"/>
      <c r="S32" s="100"/>
      <c r="T32" s="104">
        <f t="shared" si="0"/>
        <v>1905.7046604868192</v>
      </c>
      <c r="Y32" s="1" t="s">
        <v>493</v>
      </c>
      <c r="Z32" s="171">
        <f>AK26-AK24</f>
        <v>235.66289542204549</v>
      </c>
      <c r="AA32" s="20">
        <f t="shared" ref="AA32:AA33" si="112">SUM(Z26:AG26)-SUM(Z$24:AG$24)</f>
        <v>507.40427037899462</v>
      </c>
      <c r="AP32" s="893" t="s">
        <v>566</v>
      </c>
      <c r="AQ32" s="652" t="str">
        <f t="shared" ref="AQ32:AQ36" si="113">AQ20</f>
        <v>CV</v>
      </c>
      <c r="AR32" s="705">
        <f>$AK$23</f>
        <v>4801.5346124455709</v>
      </c>
      <c r="AS32" s="703">
        <f t="dataTable" ref="AS32:AT36" dt2D="0" dtr="1" r1="B12" ca="1"/>
        <v>4783.1986796665196</v>
      </c>
      <c r="AT32" s="652">
        <v>4977.786626849911</v>
      </c>
      <c r="AU32" s="661">
        <f>AI$40</f>
        <v>44587.220125613137</v>
      </c>
      <c r="AV32" s="20">
        <f t="dataTable" ref="AV32:AW36" dt2D="0" dtr="1" r1="B12" ca="1"/>
        <v>44568.884192834092</v>
      </c>
      <c r="AW32" s="660">
        <v>44763.472140017482</v>
      </c>
      <c r="BR32" s="890" t="str">
        <f>AP62</f>
        <v>Li-ion Batt.
Life Cases</v>
      </c>
      <c r="BS32" s="681" t="str">
        <f>AQ62</f>
        <v>CV</v>
      </c>
      <c r="BT32" s="682">
        <f>AU62</f>
        <v>44587.220125613137</v>
      </c>
      <c r="BU32" s="682">
        <f t="shared" ref="BU32:BU36" si="114">AV62</f>
        <v>44587.220125613137</v>
      </c>
      <c r="BV32" s="682">
        <f t="shared" ref="BV32:BV36" si="115">AW62</f>
        <v>44587.220125613137</v>
      </c>
      <c r="BW32" s="685"/>
      <c r="BX32" s="693"/>
      <c r="BY32" s="693"/>
      <c r="BZ32" s="693"/>
      <c r="CA32" s="693"/>
      <c r="CB32" s="817"/>
      <c r="CC32" s="817"/>
      <c r="CD32" s="693"/>
      <c r="CE32" s="817"/>
      <c r="CF32" s="682">
        <f>BT32-BU32</f>
        <v>0</v>
      </c>
      <c r="CG32" s="682">
        <f>BV32-BT32</f>
        <v>0</v>
      </c>
    </row>
    <row r="33" spans="1:85">
      <c r="A33" s="877" t="s">
        <v>212</v>
      </c>
      <c r="B33" s="50">
        <v>150000</v>
      </c>
      <c r="C33" s="48" t="s">
        <v>37</v>
      </c>
      <c r="D33" s="48" t="s">
        <v>243</v>
      </c>
      <c r="G33" s="903"/>
      <c r="H33" s="98" t="s">
        <v>64</v>
      </c>
      <c r="I33" s="99">
        <f>Vehicle!$N10*Gasoline!G10</f>
        <v>0</v>
      </c>
      <c r="J33" s="99">
        <f>Vehicle!$N10*Gasoline!H10</f>
        <v>0</v>
      </c>
      <c r="K33" s="823">
        <f>Vehicle!$N10*Gasoline!I10</f>
        <v>0</v>
      </c>
      <c r="L33" s="99">
        <f>Vehicle!$N10*Gasoline!J10</f>
        <v>0</v>
      </c>
      <c r="M33" s="99">
        <f>Vehicle!$N10*Gasoline!K10</f>
        <v>0</v>
      </c>
      <c r="N33" s="99">
        <f>Vehicle!$N10*Gasoline!L10</f>
        <v>0</v>
      </c>
      <c r="O33" s="99">
        <f>Vehicle!$N10*Gasoline!M10</f>
        <v>0</v>
      </c>
      <c r="P33" s="100">
        <f>Vehicle!$N10*Gasoline!N10</f>
        <v>0</v>
      </c>
      <c r="Q33" s="779"/>
      <c r="R33" s="99"/>
      <c r="S33" s="100"/>
      <c r="T33" s="104">
        <f t="shared" si="0"/>
        <v>0</v>
      </c>
      <c r="Y33" s="1" t="s">
        <v>494</v>
      </c>
      <c r="Z33" s="171">
        <f>AK27-AK24</f>
        <v>757.24795233442774</v>
      </c>
      <c r="AA33" s="20">
        <f t="shared" si="112"/>
        <v>1674.5624543879453</v>
      </c>
      <c r="AP33" s="894"/>
      <c r="AQ33" s="20" t="str">
        <f t="shared" si="113"/>
        <v>HEV</v>
      </c>
      <c r="AR33" s="661">
        <f>$AK$24</f>
        <v>3910.2272578777161</v>
      </c>
      <c r="AS33" s="658">
        <v>3897.1301630355374</v>
      </c>
      <c r="AT33" s="20">
        <v>4036.1215538808169</v>
      </c>
      <c r="AU33" s="661">
        <f>AI$41</f>
        <v>43587.2467938478</v>
      </c>
      <c r="AV33" s="20">
        <v>43574.149699005626</v>
      </c>
      <c r="AW33" s="660">
        <v>43713.141089850906</v>
      </c>
      <c r="BR33" s="891"/>
      <c r="BS33" s="91" t="str">
        <f t="shared" ref="BS33:BS36" si="116">AQ63</f>
        <v>HEV</v>
      </c>
      <c r="BT33" s="32">
        <f t="shared" ref="BT33:BT36" si="117">AU63</f>
        <v>43587.2467938478</v>
      </c>
      <c r="BU33" s="32">
        <f t="shared" si="114"/>
        <v>43587.2467938478</v>
      </c>
      <c r="BV33" s="32">
        <f t="shared" si="115"/>
        <v>43587.2467938478</v>
      </c>
      <c r="BW33" s="691"/>
      <c r="BX33" s="689"/>
      <c r="BY33" s="689"/>
      <c r="BZ33" s="689"/>
      <c r="CA33" s="689"/>
      <c r="CB33" s="830"/>
      <c r="CC33" s="830"/>
      <c r="CD33" s="689"/>
      <c r="CE33" s="830"/>
      <c r="CF33" s="32">
        <f>BT33-BU33</f>
        <v>0</v>
      </c>
      <c r="CG33" s="32">
        <f>BV33-BT33</f>
        <v>0</v>
      </c>
    </row>
    <row r="34" spans="1:85">
      <c r="A34" s="878" t="s">
        <v>211</v>
      </c>
      <c r="B34" s="872">
        <f>Lifetime_mileage/B32</f>
        <v>12500</v>
      </c>
      <c r="C34" s="220" t="s">
        <v>37</v>
      </c>
      <c r="D34" s="220" t="s">
        <v>243</v>
      </c>
      <c r="G34" s="903"/>
      <c r="H34" s="98" t="s">
        <v>42</v>
      </c>
      <c r="I34" s="99">
        <f>Electricity!F19</f>
        <v>1001.3739478001274</v>
      </c>
      <c r="J34" s="99">
        <f>Electricity!G19</f>
        <v>4.0923757941649222E-2</v>
      </c>
      <c r="K34" s="823">
        <f>Electricity!H19</f>
        <v>0</v>
      </c>
      <c r="L34" s="99">
        <f>Electricity!I19</f>
        <v>56.619425401909425</v>
      </c>
      <c r="M34" s="99">
        <f>Electricity!J19</f>
        <v>24.099204825160125</v>
      </c>
      <c r="N34" s="99">
        <f>Electricity!K19</f>
        <v>67.658178343282728</v>
      </c>
      <c r="O34" s="99">
        <f>Electricity!L19</f>
        <v>611.8266918711704</v>
      </c>
      <c r="P34" s="100">
        <f>Electricity!M19</f>
        <v>0.42672406733246832</v>
      </c>
      <c r="Q34" s="779"/>
      <c r="R34" s="99"/>
      <c r="S34" s="100"/>
      <c r="T34" s="104">
        <f t="shared" si="0"/>
        <v>1762.0450960669243</v>
      </c>
      <c r="AA34" s="1" t="s">
        <v>712</v>
      </c>
      <c r="AP34" s="894"/>
      <c r="AQ34" s="20" t="str">
        <f t="shared" si="113"/>
        <v>PHEV20</v>
      </c>
      <c r="AR34" s="661">
        <f>$AK$25</f>
        <v>3632.7889258841947</v>
      </c>
      <c r="AS34" s="658">
        <v>3622.1466201083176</v>
      </c>
      <c r="AT34" s="20">
        <v>3735.086848411936</v>
      </c>
      <c r="AU34" s="661">
        <f>AI$42</f>
        <v>44342.078748103791</v>
      </c>
      <c r="AV34" s="20">
        <v>44331.436442327918</v>
      </c>
      <c r="AW34" s="660">
        <v>44444.376670631536</v>
      </c>
      <c r="BR34" s="891"/>
      <c r="BS34" s="91" t="str">
        <f t="shared" si="116"/>
        <v>PHEV20</v>
      </c>
      <c r="BT34" s="32">
        <f t="shared" si="117"/>
        <v>44342.078748103791</v>
      </c>
      <c r="BU34" s="32">
        <f t="shared" si="114"/>
        <v>46089.27864434931</v>
      </c>
      <c r="BV34" s="32">
        <f t="shared" si="115"/>
        <v>44342.078748103791</v>
      </c>
      <c r="BW34" s="691"/>
      <c r="BX34" s="689"/>
      <c r="BY34" s="689"/>
      <c r="BZ34" s="689"/>
      <c r="CA34" s="689"/>
      <c r="CB34" s="830"/>
      <c r="CC34" s="830"/>
      <c r="CD34" s="689"/>
      <c r="CE34" s="830"/>
      <c r="CF34" s="32">
        <f>BT34-BU34</f>
        <v>-1747.1998962455182</v>
      </c>
      <c r="CG34" s="32">
        <f>BV34-BT34</f>
        <v>0</v>
      </c>
    </row>
    <row r="35" spans="1:85">
      <c r="A35" s="877" t="s">
        <v>215</v>
      </c>
      <c r="B35" s="50" t="s">
        <v>185</v>
      </c>
      <c r="C35" s="48"/>
      <c r="D35" s="48"/>
      <c r="G35" s="903"/>
      <c r="H35" s="101" t="s">
        <v>576</v>
      </c>
      <c r="I35" s="102">
        <f>Vehicle!E10</f>
        <v>0</v>
      </c>
      <c r="J35" s="102">
        <f>Vehicle!F10</f>
        <v>0</v>
      </c>
      <c r="K35" s="824">
        <f>Vehicle!G10</f>
        <v>0</v>
      </c>
      <c r="L35" s="102">
        <f>Vehicle!H10</f>
        <v>0</v>
      </c>
      <c r="M35" s="102">
        <f>Vehicle!I10</f>
        <v>22.479784634369594</v>
      </c>
      <c r="N35" s="102">
        <f>Vehicle!J10</f>
        <v>52.146528343478138</v>
      </c>
      <c r="O35" s="102">
        <f>Vehicle!K10</f>
        <v>0</v>
      </c>
      <c r="P35" s="103">
        <f>Vehicle!L10</f>
        <v>0</v>
      </c>
      <c r="Q35" s="780">
        <f>Vehicle!B10</f>
        <v>0</v>
      </c>
      <c r="R35" s="102">
        <f>Vehicle!C10</f>
        <v>0</v>
      </c>
      <c r="S35" s="103">
        <f>Vehicle!D10</f>
        <v>0</v>
      </c>
      <c r="T35" s="672">
        <f t="shared" si="0"/>
        <v>74.626312977847732</v>
      </c>
      <c r="AP35" s="894"/>
      <c r="AQ35" s="20" t="str">
        <f t="shared" si="113"/>
        <v>PHEV60</v>
      </c>
      <c r="AR35" s="661">
        <f>$AK$26</f>
        <v>4145.8901532997616</v>
      </c>
      <c r="AS35" s="658">
        <v>4136.6728865344185</v>
      </c>
      <c r="AT35" s="20">
        <v>4234.4900546121271</v>
      </c>
      <c r="AU35" s="661">
        <f>AI$43</f>
        <v>52780.398428948298</v>
      </c>
      <c r="AV35" s="20">
        <v>52771.181162182955</v>
      </c>
      <c r="AW35" s="660">
        <v>52868.998330260663</v>
      </c>
      <c r="BR35" s="891"/>
      <c r="BS35" s="91" t="str">
        <f t="shared" si="116"/>
        <v>PHEV60</v>
      </c>
      <c r="BT35" s="32">
        <f t="shared" si="117"/>
        <v>52780.398428948298</v>
      </c>
      <c r="BU35" s="32">
        <f t="shared" si="114"/>
        <v>58585.731268367657</v>
      </c>
      <c r="BV35" s="32">
        <f t="shared" si="115"/>
        <v>52780.398428948298</v>
      </c>
      <c r="BW35" s="691"/>
      <c r="BX35" s="689"/>
      <c r="BY35" s="689"/>
      <c r="BZ35" s="689"/>
      <c r="CA35" s="689"/>
      <c r="CB35" s="830"/>
      <c r="CC35" s="830"/>
      <c r="CD35" s="689"/>
      <c r="CE35" s="830"/>
      <c r="CF35" s="32">
        <f>BT35-BU35</f>
        <v>-5805.3328394193595</v>
      </c>
      <c r="CG35" s="32">
        <f>BV35-BT35</f>
        <v>0</v>
      </c>
    </row>
    <row r="36" spans="1:85" ht="12.75" customHeight="1" thickBot="1">
      <c r="A36" s="879" t="s">
        <v>221</v>
      </c>
      <c r="B36" s="193">
        <v>0.08</v>
      </c>
      <c r="C36" s="192" t="s">
        <v>16</v>
      </c>
      <c r="D36" s="192"/>
      <c r="G36" s="904"/>
      <c r="H36" s="673" t="s">
        <v>44</v>
      </c>
      <c r="I36" s="674">
        <f t="shared" ref="I36" si="118">SUM(I31:I35)</f>
        <v>1823.8017153265005</v>
      </c>
      <c r="J36" s="674">
        <f t="shared" ref="J36" si="119">SUM(J31:J35)</f>
        <v>17.869358676122928</v>
      </c>
      <c r="K36" s="825">
        <f t="shared" ref="K36" si="120">SUM(K31:K35)</f>
        <v>0</v>
      </c>
      <c r="L36" s="674">
        <f t="shared" ref="L36" si="121">SUM(L31:L35)</f>
        <v>128.73367902891709</v>
      </c>
      <c r="M36" s="674">
        <f t="shared" ref="M36" si="122">SUM(M31:M35)</f>
        <v>199.86763473738299</v>
      </c>
      <c r="N36" s="674">
        <f t="shared" ref="N36" si="123">SUM(N31:N35)</f>
        <v>475.91261374108592</v>
      </c>
      <c r="O36" s="674">
        <f t="shared" ref="O36" si="124">SUM(O31:O35)</f>
        <v>1938.8143695072956</v>
      </c>
      <c r="P36" s="675">
        <f t="shared" ref="P36" si="125">SUM(P31:P35)</f>
        <v>82.475839194839338</v>
      </c>
      <c r="Q36" s="781">
        <f>SUM(Q31:Q35)</f>
        <v>0</v>
      </c>
      <c r="R36" s="781">
        <f t="shared" ref="R36" si="126">SUM(R31:R35)</f>
        <v>0</v>
      </c>
      <c r="S36" s="781">
        <f t="shared" ref="S36" si="127">SUM(S31:S35)</f>
        <v>0</v>
      </c>
      <c r="T36" s="675">
        <f t="shared" si="0"/>
        <v>4667.4752102121438</v>
      </c>
      <c r="AP36" s="895"/>
      <c r="AQ36" s="653" t="str">
        <f t="shared" si="113"/>
        <v>BEV240</v>
      </c>
      <c r="AR36" s="662">
        <f>$AK$27</f>
        <v>4667.4752102121438</v>
      </c>
      <c r="AS36" s="663">
        <v>4667.4752102121438</v>
      </c>
      <c r="AT36" s="653">
        <v>4667.4752102121438</v>
      </c>
      <c r="AU36" s="661">
        <f>AI$44</f>
        <v>67031.631929099676</v>
      </c>
      <c r="AV36" s="20">
        <v>67031.631929099676</v>
      </c>
      <c r="AW36" s="660">
        <v>67031.631929099676</v>
      </c>
      <c r="BR36" s="892"/>
      <c r="BS36" s="683" t="str">
        <f t="shared" si="116"/>
        <v>BEV240</v>
      </c>
      <c r="BT36" s="28">
        <f t="shared" si="117"/>
        <v>67031.631929099676</v>
      </c>
      <c r="BU36" s="28">
        <f t="shared" si="114"/>
        <v>88398.370684618218</v>
      </c>
      <c r="BV36" s="28">
        <f t="shared" si="115"/>
        <v>67031.631929099676</v>
      </c>
      <c r="BW36" s="687"/>
      <c r="BX36" s="690"/>
      <c r="BY36" s="690"/>
      <c r="BZ36" s="690"/>
      <c r="CA36" s="690"/>
      <c r="CB36" s="831"/>
      <c r="CC36" s="831"/>
      <c r="CD36" s="690"/>
      <c r="CE36" s="831"/>
      <c r="CF36" s="28">
        <f>BT36-BU36</f>
        <v>-21366.738755518541</v>
      </c>
      <c r="CG36" s="28">
        <f>BV36-BT36</f>
        <v>0</v>
      </c>
    </row>
    <row r="37" spans="1:85" ht="13.5" customHeight="1" thickTop="1">
      <c r="A37" s="879" t="s">
        <v>222</v>
      </c>
      <c r="B37" s="193">
        <v>0.03</v>
      </c>
      <c r="C37" s="192" t="s">
        <v>16</v>
      </c>
      <c r="D37" s="192"/>
      <c r="AR37" s="661"/>
      <c r="AS37" s="658" t="str">
        <f>Manufacturing!D106</f>
        <v>5% Best</v>
      </c>
      <c r="AT37" s="171" t="str">
        <f>Manufacturing!D108</f>
        <v>95% Worst</v>
      </c>
      <c r="AU37" s="662"/>
      <c r="AV37" s="653" t="str">
        <f>AS37</f>
        <v>5% Best</v>
      </c>
      <c r="AW37" s="664" t="str">
        <f>AT37</f>
        <v>95% Worst</v>
      </c>
      <c r="BR37" s="689" t="s">
        <v>241</v>
      </c>
      <c r="BS37" s="91"/>
      <c r="BT37" s="32"/>
      <c r="BU37" s="32"/>
      <c r="BV37" s="32"/>
      <c r="BW37" s="691"/>
      <c r="BX37" s="689"/>
      <c r="BY37" s="689"/>
      <c r="BZ37" s="689"/>
      <c r="CA37" s="689"/>
      <c r="CB37" s="830"/>
      <c r="CC37" s="830"/>
      <c r="CD37" s="689"/>
      <c r="CE37" s="830"/>
      <c r="CF37" s="32"/>
      <c r="CG37" s="32"/>
    </row>
    <row r="38" spans="1:85" ht="12.75" customHeight="1">
      <c r="A38" s="879" t="s">
        <v>668</v>
      </c>
      <c r="B38" s="194">
        <f>(1+B36)/(1+B37) - 1</f>
        <v>4.8543689320388328E-2</v>
      </c>
      <c r="C38" s="192" t="s">
        <v>16</v>
      </c>
      <c r="D38" s="192"/>
      <c r="Y38" s="3" t="s">
        <v>495</v>
      </c>
      <c r="AP38" s="893" t="s">
        <v>567</v>
      </c>
      <c r="AQ38" s="652" t="str">
        <f t="shared" ref="AQ38:AQ42" si="128">AQ26</f>
        <v>CV</v>
      </c>
      <c r="AR38" s="705">
        <f>$AK$23</f>
        <v>4801.5346124455709</v>
      </c>
      <c r="AS38" s="703">
        <f t="dataTable" ref="AS38:AT42" dt2D="0" dtr="1" r1="B13" ca="1"/>
        <v>4735.7420375995507</v>
      </c>
      <c r="AT38" s="652">
        <v>4849.9331941142846</v>
      </c>
      <c r="AU38" s="661">
        <f>AI$40</f>
        <v>44587.220125613137</v>
      </c>
      <c r="AV38" s="20">
        <f t="dataTable" ref="AV38:AW42" dt2D="0" dtr="1" r1="B13" ca="1"/>
        <v>44521.427550767119</v>
      </c>
      <c r="AW38" s="660">
        <v>44635.618707281857</v>
      </c>
      <c r="BR38" s="890" t="str">
        <f>AP68</f>
        <v>Driving Lo-cation Cases</v>
      </c>
      <c r="BS38" s="681" t="str">
        <f>AQ68</f>
        <v>CV</v>
      </c>
      <c r="BT38" s="682">
        <f>AU68</f>
        <v>44587.220125613137</v>
      </c>
      <c r="BU38" s="682">
        <f t="shared" ref="BU38:BU42" si="129">AV68</f>
        <v>44089.472458230914</v>
      </c>
      <c r="BV38" s="682">
        <f t="shared" ref="BV38:BV42" si="130">AW68</f>
        <v>46483.305125668579</v>
      </c>
      <c r="BW38" s="685"/>
      <c r="BX38" s="693"/>
      <c r="BY38" s="693"/>
      <c r="BZ38" s="693"/>
      <c r="CA38" s="693"/>
      <c r="CB38" s="817"/>
      <c r="CC38" s="817"/>
      <c r="CD38" s="693"/>
      <c r="CE38" s="817"/>
      <c r="CF38" s="682">
        <f>BT38-BU38</f>
        <v>497.74766738222388</v>
      </c>
      <c r="CG38" s="682">
        <f>BV38-BT38</f>
        <v>1896.0850000554419</v>
      </c>
    </row>
    <row r="39" spans="1:85" ht="27.75" thickBot="1">
      <c r="A39" s="880" t="s">
        <v>223</v>
      </c>
      <c r="B39" s="222">
        <f>((1+B38)^B32-1) / (B38*(1+B38)^B32)</f>
        <v>8.9365011470578715</v>
      </c>
      <c r="C39" s="221"/>
      <c r="D39" s="221"/>
      <c r="F39" s="6"/>
      <c r="G39" s="5" t="s">
        <v>751</v>
      </c>
      <c r="H39" s="5"/>
      <c r="I39" s="86"/>
      <c r="J39" s="86"/>
      <c r="K39" s="86"/>
      <c r="L39" s="86"/>
      <c r="M39" s="86"/>
      <c r="N39" s="86"/>
      <c r="O39" s="86"/>
      <c r="P39" s="86"/>
      <c r="Q39" s="86"/>
      <c r="R39" s="86"/>
      <c r="S39" s="86"/>
      <c r="T39" s="51"/>
      <c r="U39" s="7"/>
      <c r="Y39" s="92"/>
      <c r="Z39" s="782" t="s">
        <v>643</v>
      </c>
      <c r="AA39" s="782" t="s">
        <v>644</v>
      </c>
      <c r="AB39" s="195" t="s">
        <v>628</v>
      </c>
      <c r="AC39" s="782" t="s">
        <v>32</v>
      </c>
      <c r="AD39" s="783" t="s">
        <v>650</v>
      </c>
      <c r="AE39" s="811" t="s">
        <v>648</v>
      </c>
      <c r="AF39" s="7" t="s">
        <v>649</v>
      </c>
      <c r="AG39" s="196" t="s">
        <v>627</v>
      </c>
      <c r="AH39" s="784" t="s">
        <v>645</v>
      </c>
      <c r="AI39" s="198" t="s">
        <v>44</v>
      </c>
      <c r="AK39" s="665" t="s">
        <v>611</v>
      </c>
      <c r="AL39" s="665" t="s">
        <v>612</v>
      </c>
      <c r="AM39" s="1">
        <v>7500</v>
      </c>
      <c r="AP39" s="894"/>
      <c r="AQ39" s="20" t="str">
        <f t="shared" si="128"/>
        <v>HEV</v>
      </c>
      <c r="AR39" s="661">
        <f>$AK$24</f>
        <v>3910.2272578777161</v>
      </c>
      <c r="AS39" s="658">
        <v>3841.2389513591493</v>
      </c>
      <c r="AT39" s="20">
        <v>3960.7441982278629</v>
      </c>
      <c r="AU39" s="661">
        <f>AI$41</f>
        <v>43587.2467938478</v>
      </c>
      <c r="AV39" s="20">
        <v>43518.258487329236</v>
      </c>
      <c r="AW39" s="660">
        <v>43637.76373419795</v>
      </c>
      <c r="BR39" s="891"/>
      <c r="BS39" s="91" t="str">
        <f t="shared" ref="BS39:BS42" si="131">AQ69</f>
        <v>HEV</v>
      </c>
      <c r="BT39" s="32">
        <f t="shared" ref="BT39:BT42" si="132">AU69</f>
        <v>43587.2467938478</v>
      </c>
      <c r="BU39" s="32">
        <f t="shared" si="129"/>
        <v>43118.610417365933</v>
      </c>
      <c r="BV39" s="32">
        <f t="shared" si="130"/>
        <v>45359.015343674037</v>
      </c>
      <c r="BW39" s="691"/>
      <c r="BX39" s="689"/>
      <c r="BY39" s="689"/>
      <c r="BZ39" s="689"/>
      <c r="CA39" s="689"/>
      <c r="CB39" s="830"/>
      <c r="CC39" s="830"/>
      <c r="CD39" s="689"/>
      <c r="CE39" s="830"/>
      <c r="CF39" s="32">
        <f>BT39-BU39</f>
        <v>468.63637648186705</v>
      </c>
      <c r="CG39" s="32">
        <f>BV39-BT39</f>
        <v>1771.7685498262363</v>
      </c>
    </row>
    <row r="40" spans="1:85" ht="13.5" thickTop="1">
      <c r="A40" s="881" t="s">
        <v>752</v>
      </c>
      <c r="B40" s="813">
        <f>Nominal_discount_rate</f>
        <v>0.08</v>
      </c>
      <c r="C40" s="224" t="s">
        <v>16</v>
      </c>
      <c r="D40" s="224"/>
      <c r="T40" s="20"/>
      <c r="Y40" s="93" t="s">
        <v>8</v>
      </c>
      <c r="Z40" s="32">
        <f>OwnershipCost!B5</f>
        <v>23019.490021615933</v>
      </c>
      <c r="AA40" s="32">
        <f>OwnershipCost!C5</f>
        <v>0</v>
      </c>
      <c r="AB40" s="32">
        <f>OwnershipCost!D5</f>
        <v>0</v>
      </c>
      <c r="AC40" s="32">
        <f>OwnershipCost!E5</f>
        <v>12386.239508244789</v>
      </c>
      <c r="AD40" s="91">
        <f>OwnershipCost!F5</f>
        <v>0</v>
      </c>
      <c r="AE40" s="812">
        <f>Charger!B4</f>
        <v>0</v>
      </c>
      <c r="AF40" s="812">
        <f>Maintenance!B4</f>
        <v>4379.9559833068452</v>
      </c>
      <c r="AG40" s="197">
        <f>SUM(I12:P12)</f>
        <v>3517.2943095706469</v>
      </c>
      <c r="AH40" s="197">
        <f>SUM(AH23:AJ23)</f>
        <v>1284.2403028749243</v>
      </c>
      <c r="AI40" s="608">
        <f>SUM(Z40:AH40)</f>
        <v>44587.220125613137</v>
      </c>
      <c r="AK40" s="747">
        <v>0</v>
      </c>
      <c r="AL40" s="171">
        <v>0</v>
      </c>
      <c r="AP40" s="894"/>
      <c r="AQ40" s="20" t="str">
        <f t="shared" si="128"/>
        <v>PHEV20</v>
      </c>
      <c r="AR40" s="661">
        <f>$AK$25</f>
        <v>3632.7889258841947</v>
      </c>
      <c r="AS40" s="658">
        <v>3566.7166113847375</v>
      </c>
      <c r="AT40" s="20">
        <v>3681.3729389295454</v>
      </c>
      <c r="AU40" s="661">
        <f>AI$42</f>
        <v>44342.078748103791</v>
      </c>
      <c r="AV40" s="20">
        <v>44276.006433604336</v>
      </c>
      <c r="AW40" s="660">
        <v>44390.662761149142</v>
      </c>
      <c r="BR40" s="891"/>
      <c r="BS40" s="91" t="str">
        <f t="shared" si="131"/>
        <v>PHEV20</v>
      </c>
      <c r="BT40" s="32">
        <f t="shared" si="132"/>
        <v>44342.078748103791</v>
      </c>
      <c r="BU40" s="32">
        <f t="shared" si="129"/>
        <v>43987.339371851893</v>
      </c>
      <c r="BV40" s="32">
        <f t="shared" si="130"/>
        <v>45688.933110609461</v>
      </c>
      <c r="BW40" s="691"/>
      <c r="BX40" s="689"/>
      <c r="BY40" s="689"/>
      <c r="BZ40" s="689"/>
      <c r="CA40" s="689"/>
      <c r="CB40" s="830"/>
      <c r="CC40" s="830"/>
      <c r="CD40" s="689"/>
      <c r="CE40" s="830"/>
      <c r="CF40" s="32">
        <f>BT40-BU40</f>
        <v>354.73937625189865</v>
      </c>
      <c r="CG40" s="32">
        <f>BV40-BT40</f>
        <v>1346.85436250567</v>
      </c>
    </row>
    <row r="41" spans="1:85" ht="12.75" customHeight="1">
      <c r="A41" s="880" t="s">
        <v>669</v>
      </c>
      <c r="B41" s="222">
        <f>((1+B40)^B32-1) / (B40*(1+B40)^B32)</f>
        <v>7.5360780169251091</v>
      </c>
      <c r="C41" s="221"/>
      <c r="D41" s="221"/>
      <c r="H41" s="4" t="s">
        <v>602</v>
      </c>
      <c r="Y41" s="93" t="s">
        <v>9</v>
      </c>
      <c r="Z41" s="32">
        <f>OwnershipCost!B6</f>
        <v>24799.941964129226</v>
      </c>
      <c r="AA41" s="32">
        <f>OwnershipCost!C6</f>
        <v>2067.978343167611</v>
      </c>
      <c r="AB41" s="32">
        <f>OwnershipCost!D6</f>
        <v>0</v>
      </c>
      <c r="AC41" s="32">
        <f>OwnershipCost!E6</f>
        <v>8847.3139344605643</v>
      </c>
      <c r="AD41" s="91">
        <f>OwnershipCost!F6</f>
        <v>0</v>
      </c>
      <c r="AE41" s="812">
        <f>Charger!B5</f>
        <v>0</v>
      </c>
      <c r="AF41" s="812">
        <f>Maintenance!B5</f>
        <v>3961.7852942126851</v>
      </c>
      <c r="AG41" s="197">
        <f>SUM(I18:P18)</f>
        <v>2992.9127558241985</v>
      </c>
      <c r="AH41" s="197">
        <f t="shared" ref="AH41:AH44" si="133">SUM(AH24:AJ24)</f>
        <v>917.31450205351746</v>
      </c>
      <c r="AI41" s="608">
        <f>SUM(Z41:AH41)</f>
        <v>43587.2467938478</v>
      </c>
      <c r="AK41" s="747">
        <f>Z24/Valuation!C$9</f>
        <v>36.744796795016484</v>
      </c>
      <c r="AL41" s="171">
        <f>(AI41-AI$40)/AK41</f>
        <v>-27.214011750936084</v>
      </c>
      <c r="AP41" s="894"/>
      <c r="AQ41" s="20" t="str">
        <f t="shared" si="128"/>
        <v>PHEV60</v>
      </c>
      <c r="AR41" s="661">
        <f>$AK$26</f>
        <v>4145.8901532997616</v>
      </c>
      <c r="AS41" s="658">
        <v>4054.9047508933268</v>
      </c>
      <c r="AT41" s="20">
        <v>4210.9883363245262</v>
      </c>
      <c r="AU41" s="661">
        <f>AI$43</f>
        <v>52780.398428948298</v>
      </c>
      <c r="AV41" s="20">
        <v>52689.413026541864</v>
      </c>
      <c r="AW41" s="660">
        <v>52845.49661197306</v>
      </c>
      <c r="BR41" s="891"/>
      <c r="BS41" s="91" t="str">
        <f t="shared" si="131"/>
        <v>PHEV60</v>
      </c>
      <c r="BT41" s="32">
        <f t="shared" si="132"/>
        <v>52780.398428948298</v>
      </c>
      <c r="BU41" s="32">
        <f t="shared" si="129"/>
        <v>52498.314025368636</v>
      </c>
      <c r="BV41" s="32">
        <f t="shared" si="130"/>
        <v>53856.199746988474</v>
      </c>
      <c r="BW41" s="691"/>
      <c r="BX41" s="689"/>
      <c r="BY41" s="689"/>
      <c r="BZ41" s="689"/>
      <c r="CA41" s="689"/>
      <c r="CB41" s="830"/>
      <c r="CC41" s="830"/>
      <c r="CD41" s="689"/>
      <c r="CE41" s="830"/>
      <c r="CF41" s="32">
        <f>BT41-BU41</f>
        <v>282.08440357966174</v>
      </c>
      <c r="CG41" s="32">
        <f>BV41-BT41</f>
        <v>1075.8013180401758</v>
      </c>
    </row>
    <row r="42" spans="1:85" ht="12.75" customHeight="1">
      <c r="A42" s="879" t="s">
        <v>239</v>
      </c>
      <c r="B42" s="870">
        <f>Design!E5/1000</f>
        <v>1.1009142857142857</v>
      </c>
      <c r="C42" s="192" t="s">
        <v>34</v>
      </c>
      <c r="D42" s="192" t="s">
        <v>244</v>
      </c>
      <c r="Y42" s="93" t="s">
        <v>10</v>
      </c>
      <c r="Z42" s="32">
        <f>OwnershipCost!B7</f>
        <v>25665.680796868604</v>
      </c>
      <c r="AA42" s="32">
        <f>OwnershipCost!C7</f>
        <v>2631.9724367587778</v>
      </c>
      <c r="AB42" s="32">
        <f>OwnershipCost!D7</f>
        <v>0</v>
      </c>
      <c r="AC42" s="32">
        <f>OwnershipCost!E7</f>
        <v>7189.0614919024256</v>
      </c>
      <c r="AD42" s="91">
        <f>OwnershipCost!F7</f>
        <v>787.62568701449754</v>
      </c>
      <c r="AE42" s="812">
        <f>Charger!B6</f>
        <v>1200</v>
      </c>
      <c r="AF42" s="812">
        <f>Maintenance!B6</f>
        <v>3234.9494096753001</v>
      </c>
      <c r="AG42" s="197">
        <f>SUM(I24:P24)</f>
        <v>2887.4067215758</v>
      </c>
      <c r="AH42" s="197">
        <f t="shared" si="133"/>
        <v>745.38220430839453</v>
      </c>
      <c r="AI42" s="608">
        <f>SUM(Z42:AH42)</f>
        <v>44342.078748103791</v>
      </c>
      <c r="AK42" s="747">
        <f>Z25/Valuation!C$9</f>
        <v>35.248735514980986</v>
      </c>
      <c r="AL42" s="171">
        <f>(AI42-AI$40)/AK42</f>
        <v>-6.9546147947678598</v>
      </c>
      <c r="AP42" s="895"/>
      <c r="AQ42" s="653" t="str">
        <f t="shared" si="128"/>
        <v>BEV240</v>
      </c>
      <c r="AR42" s="662">
        <f>$AK$27</f>
        <v>4667.4752102121438</v>
      </c>
      <c r="AS42" s="663">
        <v>4465.8013809360737</v>
      </c>
      <c r="AT42" s="653">
        <v>4805.9455702590512</v>
      </c>
      <c r="AU42" s="661">
        <f>AI$44</f>
        <v>67031.631929099676</v>
      </c>
      <c r="AV42" s="20">
        <v>66829.958099823605</v>
      </c>
      <c r="AW42" s="660">
        <v>67170.102289146584</v>
      </c>
      <c r="AY42" s="25"/>
      <c r="AZ42" s="659"/>
      <c r="BA42" s="684" t="s">
        <v>49</v>
      </c>
      <c r="BB42" s="26" t="s">
        <v>558</v>
      </c>
      <c r="BC42" s="26" t="s">
        <v>559</v>
      </c>
      <c r="BD42" s="680" t="str">
        <f>I6</f>
        <v>GHGs</v>
      </c>
      <c r="BE42" s="32" t="str">
        <f t="shared" ref="BE42:BN42" si="134">J6</f>
        <v>CO</v>
      </c>
      <c r="BF42" s="32" t="str">
        <f t="shared" si="134"/>
        <v>NH3</v>
      </c>
      <c r="BG42" s="32" t="str">
        <f t="shared" si="134"/>
        <v>NOx</v>
      </c>
      <c r="BH42" s="32" t="str">
        <f t="shared" si="134"/>
        <v>PM10</v>
      </c>
      <c r="BI42" s="32" t="str">
        <f t="shared" si="134"/>
        <v>PM2.5</v>
      </c>
      <c r="BJ42" s="32" t="str">
        <f t="shared" si="134"/>
        <v>SO2</v>
      </c>
      <c r="BK42" s="91" t="str">
        <f t="shared" si="134"/>
        <v>VOC</v>
      </c>
      <c r="BL42" s="680" t="str">
        <f t="shared" si="134"/>
        <v>Disruption</v>
      </c>
      <c r="BM42" s="769" t="str">
        <f t="shared" si="134"/>
        <v>Monopsony</v>
      </c>
      <c r="BN42" s="91" t="str">
        <f t="shared" si="134"/>
        <v>Military</v>
      </c>
      <c r="BO42" s="26" t="s">
        <v>563</v>
      </c>
      <c r="BP42" s="26" t="s">
        <v>564</v>
      </c>
      <c r="BR42" s="892"/>
      <c r="BS42" s="683" t="str">
        <f t="shared" si="131"/>
        <v>BEV240</v>
      </c>
      <c r="BT42" s="28">
        <f t="shared" si="132"/>
        <v>67031.631929099676</v>
      </c>
      <c r="BU42" s="28">
        <f t="shared" si="129"/>
        <v>66964.182591117176</v>
      </c>
      <c r="BV42" s="28">
        <f t="shared" si="130"/>
        <v>67306.696754654811</v>
      </c>
      <c r="BW42" s="687"/>
      <c r="BX42" s="690"/>
      <c r="BY42" s="690"/>
      <c r="BZ42" s="690"/>
      <c r="CA42" s="690"/>
      <c r="CB42" s="831"/>
      <c r="CC42" s="831"/>
      <c r="CD42" s="690"/>
      <c r="CE42" s="831"/>
      <c r="CF42" s="28">
        <f>BT42-BU42</f>
        <v>67.449337982499856</v>
      </c>
      <c r="CG42" s="28">
        <f>BV42-BT42</f>
        <v>275.06482555513503</v>
      </c>
    </row>
    <row r="43" spans="1:85">
      <c r="A43" s="879" t="s">
        <v>238</v>
      </c>
      <c r="B43" s="213">
        <v>15.3</v>
      </c>
      <c r="C43" s="192" t="s">
        <v>496</v>
      </c>
      <c r="D43" s="192" t="s">
        <v>244</v>
      </c>
      <c r="I43" s="915" t="s">
        <v>609</v>
      </c>
      <c r="J43" s="915"/>
      <c r="K43" s="916" t="s">
        <v>610</v>
      </c>
      <c r="L43" s="916"/>
      <c r="Y43" s="93" t="s">
        <v>11</v>
      </c>
      <c r="Z43" s="32">
        <f>OwnershipCost!B8</f>
        <v>25728.873412397024</v>
      </c>
      <c r="AA43" s="32">
        <f>OwnershipCost!C8</f>
        <v>8730.0598352515044</v>
      </c>
      <c r="AB43" s="32">
        <f>OwnershipCost!D8</f>
        <v>0</v>
      </c>
      <c r="AC43" s="32">
        <f>OwnershipCost!E8</f>
        <v>6226.4230100894329</v>
      </c>
      <c r="AD43" s="91">
        <f>OwnershipCost!F8</f>
        <v>2314.2026082352727</v>
      </c>
      <c r="AE43" s="812">
        <f>Charger!B7</f>
        <v>2400</v>
      </c>
      <c r="AF43" s="812">
        <f>Maintenance!B7</f>
        <v>3234.9494096753001</v>
      </c>
      <c r="AG43" s="197">
        <f>SUM(I30:P30)</f>
        <v>3500.3170262031931</v>
      </c>
      <c r="AH43" s="197">
        <f t="shared" si="133"/>
        <v>645.57312709656856</v>
      </c>
      <c r="AI43" s="608">
        <f>SUM(Z43:AH43)</f>
        <v>52780.398428948298</v>
      </c>
      <c r="AK43" s="747">
        <f>Z26/Valuation!C$9</f>
        <v>41.549434105867206</v>
      </c>
      <c r="AL43" s="171">
        <f>(AI43-AI$40)/AK43</f>
        <v>197.19109248176738</v>
      </c>
      <c r="AM43" s="171">
        <f>7500/AK43</f>
        <v>180.5078736064163</v>
      </c>
      <c r="AN43" s="171"/>
      <c r="AR43" s="661"/>
      <c r="AS43" s="658" t="str">
        <f>Manufacturing!D155</f>
        <v>5% Best</v>
      </c>
      <c r="AT43" s="171" t="str">
        <f>Manufacturing!D157</f>
        <v>95% Worst</v>
      </c>
      <c r="AU43" s="662"/>
      <c r="AV43" s="653" t="str">
        <f>AS43</f>
        <v>5% Best</v>
      </c>
      <c r="AW43" s="664" t="str">
        <f>AT43</f>
        <v>95% Worst</v>
      </c>
      <c r="AY43" s="890" t="s">
        <v>562</v>
      </c>
      <c r="AZ43" s="681" t="str">
        <f>AQ8</f>
        <v>CV</v>
      </c>
      <c r="BA43" s="682"/>
      <c r="BB43" s="682"/>
      <c r="BC43" s="682"/>
      <c r="BD43" s="732">
        <f t="shared" ref="BD43:BK47" si="135">Z23</f>
        <v>2024.7409595581712</v>
      </c>
      <c r="BE43" s="733">
        <f t="shared" si="135"/>
        <v>312.25271204328538</v>
      </c>
      <c r="BF43" s="733">
        <f t="shared" si="135"/>
        <v>0</v>
      </c>
      <c r="BG43" s="733">
        <f t="shared" si="135"/>
        <v>104.13165470467408</v>
      </c>
      <c r="BH43" s="733">
        <f t="shared" si="135"/>
        <v>109.0601833311037</v>
      </c>
      <c r="BI43" s="733">
        <f t="shared" si="135"/>
        <v>327.17935195742109</v>
      </c>
      <c r="BJ43" s="733">
        <f t="shared" si="135"/>
        <v>412.88420411262837</v>
      </c>
      <c r="BK43" s="734">
        <f>AG23</f>
        <v>227.045243863363</v>
      </c>
      <c r="BL43" s="732">
        <f t="shared" ref="BL43:BN47" si="136">AH23</f>
        <v>335.04288137349306</v>
      </c>
      <c r="BM43" s="733">
        <f t="shared" si="136"/>
        <v>829.22473140215186</v>
      </c>
      <c r="BN43" s="734">
        <f t="shared" si="136"/>
        <v>119.9726900992793</v>
      </c>
      <c r="BO43" s="682"/>
      <c r="BP43" s="682"/>
      <c r="BR43" s="689" t="s">
        <v>241</v>
      </c>
      <c r="BS43" s="91"/>
      <c r="BT43" s="32"/>
      <c r="BU43" s="32"/>
      <c r="BV43" s="32"/>
      <c r="BW43" s="691"/>
      <c r="BX43" s="689"/>
      <c r="BY43" s="689"/>
      <c r="BZ43" s="689"/>
      <c r="CA43" s="689"/>
      <c r="CB43" s="830"/>
      <c r="CC43" s="830"/>
      <c r="CD43" s="689"/>
      <c r="CE43" s="830"/>
      <c r="CF43" s="32"/>
      <c r="CG43" s="32"/>
    </row>
    <row r="44" spans="1:85" ht="12.75" customHeight="1">
      <c r="A44" s="879" t="s">
        <v>122</v>
      </c>
      <c r="B44" s="870">
        <f>Design!E8/Design!B25</f>
        <v>34.186003151260508</v>
      </c>
      <c r="C44" s="192" t="s">
        <v>496</v>
      </c>
      <c r="D44" s="192" t="s">
        <v>244</v>
      </c>
      <c r="H44" s="665" t="s">
        <v>603</v>
      </c>
      <c r="I44" s="898">
        <f>7500*200000</f>
        <v>1500000000</v>
      </c>
      <c r="J44" s="898"/>
      <c r="K44" s="901">
        <f>7500*200000</f>
        <v>1500000000</v>
      </c>
      <c r="L44" s="901"/>
      <c r="Y44" s="93" t="s">
        <v>554</v>
      </c>
      <c r="Z44" s="32">
        <f>OwnershipCost!B9</f>
        <v>20496.524846643686</v>
      </c>
      <c r="AA44" s="32">
        <f>OwnershipCost!C9</f>
        <v>31953.346041946596</v>
      </c>
      <c r="AB44" s="32">
        <f>OwnershipCost!D9</f>
        <v>0</v>
      </c>
      <c r="AC44" s="32">
        <f>OwnershipCost!E9</f>
        <v>0</v>
      </c>
      <c r="AD44" s="91">
        <f>OwnershipCost!F9</f>
        <v>5281.9362399936672</v>
      </c>
      <c r="AE44" s="812">
        <f>Charger!B8</f>
        <v>2400</v>
      </c>
      <c r="AF44" s="812">
        <f>Maintenance!B8</f>
        <v>2232.3495903035837</v>
      </c>
      <c r="AG44" s="197">
        <f>SUM(I36:P36)</f>
        <v>4667.4752102121438</v>
      </c>
      <c r="AH44" s="197">
        <f t="shared" si="133"/>
        <v>0</v>
      </c>
      <c r="AI44" s="608">
        <f>SUM(Z44:AH44)</f>
        <v>67031.631929099676</v>
      </c>
      <c r="AK44" s="747">
        <f>Z27/Valuation!C$9</f>
        <v>43.703008024379947</v>
      </c>
      <c r="AL44" s="171">
        <f>(AI44-AI$40)/AK44</f>
        <v>513.56675016433212</v>
      </c>
      <c r="AM44" s="171">
        <f>7500/AK44</f>
        <v>171.61290124048409</v>
      </c>
      <c r="AN44" s="171"/>
      <c r="AP44" s="893" t="s">
        <v>701</v>
      </c>
      <c r="AQ44" s="652" t="str">
        <f t="shared" ref="AQ44:AQ48" si="137">AQ32</f>
        <v>CV</v>
      </c>
      <c r="AR44" s="705">
        <f>$AK$23</f>
        <v>4801.5346124455709</v>
      </c>
      <c r="AS44" s="703">
        <f t="dataTable" ref="AS44:AT48" dt2D="0" dtr="1" r1="B14" ca="1"/>
        <v>4346.5847286131839</v>
      </c>
      <c r="AT44" s="652">
        <v>5057.6707581554147</v>
      </c>
      <c r="AU44" s="661">
        <f>AI$40</f>
        <v>44587.220125613137</v>
      </c>
      <c r="AV44" s="20">
        <f t="dataTable" ref="AV44:AW48" dt2D="0" dtr="1" r1="B14" ca="1"/>
        <v>44132.270241780752</v>
      </c>
      <c r="AW44" s="660">
        <v>44843.356271322984</v>
      </c>
      <c r="AY44" s="891"/>
      <c r="AZ44" s="91" t="str">
        <f t="shared" ref="AZ44:AZ47" si="138">AQ9</f>
        <v>HEV</v>
      </c>
      <c r="BA44" s="32"/>
      <c r="BB44" s="32"/>
      <c r="BC44" s="32"/>
      <c r="BD44" s="735">
        <f t="shared" si="135"/>
        <v>1533.4235892112956</v>
      </c>
      <c r="BE44" s="736">
        <f t="shared" si="135"/>
        <v>309.62966328679141</v>
      </c>
      <c r="BF44" s="736">
        <f t="shared" si="135"/>
        <v>0</v>
      </c>
      <c r="BG44" s="736">
        <f t="shared" si="135"/>
        <v>85.056093960905713</v>
      </c>
      <c r="BH44" s="736">
        <f t="shared" si="135"/>
        <v>99.240449074941608</v>
      </c>
      <c r="BI44" s="736">
        <f t="shared" si="135"/>
        <v>296.12031154674804</v>
      </c>
      <c r="BJ44" s="736">
        <f t="shared" si="135"/>
        <v>485.95540241708989</v>
      </c>
      <c r="BK44" s="737">
        <f t="shared" si="135"/>
        <v>183.48724632642646</v>
      </c>
      <c r="BL44" s="735">
        <f t="shared" si="136"/>
        <v>239.31634383820932</v>
      </c>
      <c r="BM44" s="736">
        <f t="shared" si="136"/>
        <v>592.3033795729657</v>
      </c>
      <c r="BN44" s="737">
        <f t="shared" si="136"/>
        <v>85.694778642342385</v>
      </c>
      <c r="BO44" s="32"/>
      <c r="BP44" s="32"/>
      <c r="BR44" s="890" t="str">
        <f>AP74</f>
        <v>Vehicle
Cost Cases</v>
      </c>
      <c r="BS44" s="681" t="str">
        <f>AQ74</f>
        <v>CV</v>
      </c>
      <c r="BT44" s="682">
        <f>AU74</f>
        <v>44587.220125613137</v>
      </c>
      <c r="BU44" s="682">
        <f t="shared" ref="BU44:BU48" si="139">AV74</f>
        <v>44587.220125613137</v>
      </c>
      <c r="BV44" s="682">
        <f t="shared" ref="BV44:BV48" si="140">AW74</f>
        <v>44587.74673074254</v>
      </c>
      <c r="BW44" s="685"/>
      <c r="BX44" s="693"/>
      <c r="BY44" s="693"/>
      <c r="BZ44" s="693"/>
      <c r="CA44" s="693"/>
      <c r="CB44" s="817"/>
      <c r="CC44" s="817"/>
      <c r="CD44" s="693"/>
      <c r="CE44" s="817"/>
      <c r="CF44" s="682">
        <f>BT44-BU44</f>
        <v>0</v>
      </c>
      <c r="CG44" s="682">
        <f>BV44-BT44</f>
        <v>0.52660512940201443</v>
      </c>
    </row>
    <row r="45" spans="1:85">
      <c r="A45" s="879" t="s">
        <v>121</v>
      </c>
      <c r="B45" s="870">
        <f>Design!E14/Design!B25</f>
        <v>117.2499737394958</v>
      </c>
      <c r="C45" s="192" t="s">
        <v>496</v>
      </c>
      <c r="D45" s="192" t="s">
        <v>244</v>
      </c>
      <c r="H45" s="4" t="s">
        <v>604</v>
      </c>
      <c r="I45" s="899">
        <f>I44/AI41</f>
        <v>34413.735905240064</v>
      </c>
      <c r="J45" s="899"/>
      <c r="K45" s="900">
        <f>K44/(SUM(Z41:AB41)-Z40)</f>
        <v>389769.30557405285</v>
      </c>
      <c r="L45" s="900"/>
      <c r="AP45" s="894"/>
      <c r="AQ45" s="20" t="str">
        <f t="shared" si="137"/>
        <v>HEV</v>
      </c>
      <c r="AR45" s="661">
        <f>$AK$24</f>
        <v>3910.2272578777161</v>
      </c>
      <c r="AS45" s="658">
        <v>3385.4386111494719</v>
      </c>
      <c r="AT45" s="20">
        <v>4229.8424219808803</v>
      </c>
      <c r="AU45" s="661">
        <f>AI$41</f>
        <v>43587.2467938478</v>
      </c>
      <c r="AV45" s="20">
        <v>43062.458147119556</v>
      </c>
      <c r="AW45" s="660">
        <v>43906.861957950969</v>
      </c>
      <c r="AY45" s="891"/>
      <c r="AZ45" s="91" t="str">
        <f t="shared" si="138"/>
        <v>PHEV20</v>
      </c>
      <c r="BA45" s="32"/>
      <c r="BB45" s="32"/>
      <c r="BC45" s="32"/>
      <c r="BD45" s="735">
        <f t="shared" si="135"/>
        <v>1470.9903780410214</v>
      </c>
      <c r="BE45" s="736">
        <f t="shared" si="135"/>
        <v>226.57131861625834</v>
      </c>
      <c r="BF45" s="736">
        <f t="shared" si="135"/>
        <v>0</v>
      </c>
      <c r="BG45" s="736">
        <f t="shared" si="135"/>
        <v>82.644555338322789</v>
      </c>
      <c r="BH45" s="736">
        <f t="shared" si="135"/>
        <v>101.48096887821208</v>
      </c>
      <c r="BI45" s="736">
        <f t="shared" si="135"/>
        <v>291.66818921652788</v>
      </c>
      <c r="BJ45" s="736">
        <f t="shared" si="135"/>
        <v>556.99015577880436</v>
      </c>
      <c r="BK45" s="737">
        <f t="shared" si="135"/>
        <v>157.06115570665324</v>
      </c>
      <c r="BL45" s="735">
        <f t="shared" si="136"/>
        <v>194.46127091397832</v>
      </c>
      <c r="BM45" s="736">
        <f t="shared" si="136"/>
        <v>481.28793090818442</v>
      </c>
      <c r="BN45" s="737">
        <f t="shared" si="136"/>
        <v>69.633002486231831</v>
      </c>
      <c r="BO45" s="32"/>
      <c r="BP45" s="32"/>
      <c r="BR45" s="891"/>
      <c r="BS45" s="91" t="str">
        <f t="shared" ref="BS45:BS48" si="141">AQ75</f>
        <v>HEV</v>
      </c>
      <c r="BT45" s="32">
        <f t="shared" ref="BT45:BT48" si="142">AU75</f>
        <v>43587.2467938478</v>
      </c>
      <c r="BU45" s="32">
        <f t="shared" si="139"/>
        <v>43587.2467938478</v>
      </c>
      <c r="BV45" s="32">
        <f t="shared" si="140"/>
        <v>42933.72982825803</v>
      </c>
      <c r="BW45" s="691"/>
      <c r="BX45" s="689"/>
      <c r="BY45" s="689"/>
      <c r="BZ45" s="689"/>
      <c r="CA45" s="689"/>
      <c r="CB45" s="830"/>
      <c r="CC45" s="830"/>
      <c r="CD45" s="689"/>
      <c r="CE45" s="830"/>
      <c r="CF45" s="32">
        <f>BT45-BU45</f>
        <v>0</v>
      </c>
      <c r="CG45" s="32">
        <f>BV45-BT45</f>
        <v>-653.51696558976982</v>
      </c>
    </row>
    <row r="46" spans="1:85">
      <c r="A46" s="881" t="s">
        <v>120</v>
      </c>
      <c r="B46" s="871">
        <f>Design!E18/Design!B25</f>
        <v>486.30178571428576</v>
      </c>
      <c r="C46" s="224" t="s">
        <v>496</v>
      </c>
      <c r="D46" s="224" t="s">
        <v>244</v>
      </c>
      <c r="H46" s="665" t="s">
        <v>605</v>
      </c>
      <c r="I46" s="898">
        <f>(AK23-AK24)*I45</f>
        <v>30673215.910496324</v>
      </c>
      <c r="J46" s="898"/>
      <c r="K46" s="901">
        <f>(AK23-AK24)*K45</f>
        <v>347404248.64295888</v>
      </c>
      <c r="L46" s="901"/>
      <c r="Y46" s="1" t="s">
        <v>228</v>
      </c>
      <c r="AP46" s="894"/>
      <c r="AQ46" s="20" t="str">
        <f t="shared" si="137"/>
        <v>PHEV20</v>
      </c>
      <c r="AR46" s="661">
        <f>$AK$25</f>
        <v>3632.7889258841947</v>
      </c>
      <c r="AS46" s="658">
        <v>3101.6991904717188</v>
      </c>
      <c r="AT46" s="20">
        <v>3911.5632896359066</v>
      </c>
      <c r="AU46" s="661">
        <f>AI$42</f>
        <v>44342.078748103791</v>
      </c>
      <c r="AV46" s="20">
        <v>43810.989012691316</v>
      </c>
      <c r="AW46" s="660">
        <v>44620.853111855504</v>
      </c>
      <c r="AY46" s="891"/>
      <c r="AZ46" s="91" t="str">
        <f t="shared" si="138"/>
        <v>PHEV60</v>
      </c>
      <c r="BA46" s="32"/>
      <c r="BB46" s="32"/>
      <c r="BC46" s="32"/>
      <c r="BD46" s="735">
        <f t="shared" si="135"/>
        <v>1733.929370510444</v>
      </c>
      <c r="BE46" s="736">
        <f t="shared" si="135"/>
        <v>173.83427687643018</v>
      </c>
      <c r="BF46" s="736">
        <f t="shared" si="135"/>
        <v>0</v>
      </c>
      <c r="BG46" s="736">
        <f t="shared" si="135"/>
        <v>99.170110306203711</v>
      </c>
      <c r="BH46" s="736">
        <f t="shared" si="135"/>
        <v>122.77531596720763</v>
      </c>
      <c r="BI46" s="736">
        <f t="shared" si="135"/>
        <v>333.46407461874128</v>
      </c>
      <c r="BJ46" s="736">
        <f t="shared" si="135"/>
        <v>895.9992717436171</v>
      </c>
      <c r="BK46" s="737">
        <f t="shared" si="135"/>
        <v>141.14460618054966</v>
      </c>
      <c r="BL46" s="735">
        <f t="shared" si="136"/>
        <v>168.42228059307067</v>
      </c>
      <c r="BM46" s="736">
        <f t="shared" si="136"/>
        <v>416.84192726136246</v>
      </c>
      <c r="BN46" s="737">
        <f t="shared" si="136"/>
        <v>60.308919242135367</v>
      </c>
      <c r="BO46" s="32"/>
      <c r="BP46" s="32"/>
      <c r="BR46" s="891"/>
      <c r="BS46" s="91" t="str">
        <f t="shared" si="141"/>
        <v>PHEV20</v>
      </c>
      <c r="BT46" s="32">
        <f t="shared" si="142"/>
        <v>44342.078748103791</v>
      </c>
      <c r="BU46" s="32">
        <f t="shared" si="139"/>
        <v>44342.078748103791</v>
      </c>
      <c r="BV46" s="32">
        <f t="shared" si="140"/>
        <v>42682.219380223913</v>
      </c>
      <c r="BW46" s="691"/>
      <c r="BX46" s="689"/>
      <c r="BY46" s="689"/>
      <c r="BZ46" s="689"/>
      <c r="CA46" s="689"/>
      <c r="CB46" s="830"/>
      <c r="CC46" s="830"/>
      <c r="CD46" s="689"/>
      <c r="CE46" s="830"/>
      <c r="CF46" s="32">
        <f>BT46-BU46</f>
        <v>0</v>
      </c>
      <c r="CG46" s="32">
        <f>BV46-BT46</f>
        <v>-1659.8593678798788</v>
      </c>
    </row>
    <row r="47" spans="1:85">
      <c r="A47" s="881" t="s">
        <v>522</v>
      </c>
      <c r="B47" s="628">
        <v>2</v>
      </c>
      <c r="C47" s="224"/>
      <c r="D47" s="224"/>
      <c r="H47" s="4" t="s">
        <v>606</v>
      </c>
      <c r="I47" s="899">
        <f>I44/AI42</f>
        <v>33827.91340300312</v>
      </c>
      <c r="J47" s="899"/>
      <c r="K47" s="900">
        <f>K44/(SUM(Z42:AB42)-Z40)</f>
        <v>284189.77203783114</v>
      </c>
      <c r="L47" s="900"/>
      <c r="AP47" s="894"/>
      <c r="AQ47" s="20" t="str">
        <f t="shared" si="137"/>
        <v>PHEV60</v>
      </c>
      <c r="AR47" s="661">
        <f>$AK$26</f>
        <v>4145.8901532997616</v>
      </c>
      <c r="AS47" s="658">
        <v>3446.9939237598987</v>
      </c>
      <c r="AT47" s="20">
        <v>4505.912524457849</v>
      </c>
      <c r="AU47" s="661">
        <f>AI$43</f>
        <v>52780.398428948298</v>
      </c>
      <c r="AV47" s="20">
        <v>52081.502199408438</v>
      </c>
      <c r="AW47" s="660">
        <v>53140.420800106382</v>
      </c>
      <c r="AY47" s="892"/>
      <c r="AZ47" s="683" t="str">
        <f t="shared" si="138"/>
        <v>BEV240</v>
      </c>
      <c r="BA47" s="28"/>
      <c r="BB47" s="28"/>
      <c r="BC47" s="28"/>
      <c r="BD47" s="738">
        <f t="shared" si="135"/>
        <v>1823.8017153265005</v>
      </c>
      <c r="BE47" s="739">
        <f t="shared" si="135"/>
        <v>17.869358676122928</v>
      </c>
      <c r="BF47" s="739">
        <f t="shared" si="135"/>
        <v>0</v>
      </c>
      <c r="BG47" s="739">
        <f t="shared" si="135"/>
        <v>128.73367902891709</v>
      </c>
      <c r="BH47" s="739">
        <f t="shared" si="135"/>
        <v>199.86763473738299</v>
      </c>
      <c r="BI47" s="739">
        <f t="shared" si="135"/>
        <v>475.91261374108592</v>
      </c>
      <c r="BJ47" s="739">
        <f t="shared" si="135"/>
        <v>1938.8143695072956</v>
      </c>
      <c r="BK47" s="740">
        <f t="shared" si="135"/>
        <v>82.475839194839338</v>
      </c>
      <c r="BL47" s="738">
        <f t="shared" si="136"/>
        <v>0</v>
      </c>
      <c r="BM47" s="739">
        <f t="shared" si="136"/>
        <v>0</v>
      </c>
      <c r="BN47" s="740">
        <f t="shared" si="136"/>
        <v>0</v>
      </c>
      <c r="BO47" s="28"/>
      <c r="BP47" s="28"/>
      <c r="BR47" s="891"/>
      <c r="BS47" s="91" t="str">
        <f t="shared" si="141"/>
        <v>PHEV60</v>
      </c>
      <c r="BT47" s="32">
        <f t="shared" si="142"/>
        <v>52780.398428948298</v>
      </c>
      <c r="BU47" s="32">
        <f t="shared" si="139"/>
        <v>52780.398428948298</v>
      </c>
      <c r="BV47" s="32">
        <f t="shared" si="140"/>
        <v>46748.663276760417</v>
      </c>
      <c r="BW47" s="691"/>
      <c r="BX47" s="689"/>
      <c r="BY47" s="689"/>
      <c r="BZ47" s="689"/>
      <c r="CA47" s="689"/>
      <c r="CB47" s="830"/>
      <c r="CC47" s="830"/>
      <c r="CD47" s="689"/>
      <c r="CE47" s="830"/>
      <c r="CF47" s="32">
        <f>BT47-BU47</f>
        <v>0</v>
      </c>
      <c r="CG47" s="32">
        <f>BV47-BT47</f>
        <v>-6031.7351521878809</v>
      </c>
    </row>
    <row r="48" spans="1:85" ht="12.75" customHeight="1">
      <c r="A48" s="881" t="s">
        <v>521</v>
      </c>
      <c r="B48" s="869">
        <f>CEILING(Vehicle_life/B17,1)-1</f>
        <v>0</v>
      </c>
      <c r="C48" s="224"/>
      <c r="D48" s="224"/>
      <c r="H48" s="665" t="s">
        <v>605</v>
      </c>
      <c r="I48" s="898">
        <f>(AK23-AK25)*I47</f>
        <v>39536227.875131667</v>
      </c>
      <c r="J48" s="898"/>
      <c r="K48" s="901">
        <f>(AK23-AK25)*K47</f>
        <v>332145570.23407596</v>
      </c>
      <c r="L48" s="901"/>
      <c r="AP48" s="895"/>
      <c r="AQ48" s="653" t="str">
        <f t="shared" si="137"/>
        <v>BEV240</v>
      </c>
      <c r="AR48" s="662">
        <f>$AK$27</f>
        <v>4667.4752102121438</v>
      </c>
      <c r="AS48" s="663">
        <v>3223.0175744418361</v>
      </c>
      <c r="AT48" s="653">
        <v>5388.4810997395098</v>
      </c>
      <c r="AU48" s="661">
        <f>AI$44</f>
        <v>67031.631929099676</v>
      </c>
      <c r="AV48" s="20">
        <v>65587.174293329372</v>
      </c>
      <c r="AW48" s="660">
        <v>67752.637818627045</v>
      </c>
      <c r="AY48" s="655" t="s">
        <v>241</v>
      </c>
      <c r="AZ48" s="91"/>
      <c r="BA48" s="32"/>
      <c r="BB48" s="32"/>
      <c r="BC48" s="32"/>
      <c r="BD48" s="657"/>
      <c r="BE48" s="655"/>
      <c r="BF48" s="655"/>
      <c r="BG48" s="655"/>
      <c r="BH48" s="655"/>
      <c r="BI48" s="655"/>
      <c r="BJ48" s="655"/>
      <c r="BK48" s="659"/>
      <c r="BL48" s="710"/>
      <c r="BM48" s="766"/>
      <c r="BN48" s="692"/>
      <c r="BO48" s="32"/>
      <c r="BP48" s="32"/>
      <c r="BR48" s="892"/>
      <c r="BS48" s="683" t="str">
        <f t="shared" si="141"/>
        <v>BEV240</v>
      </c>
      <c r="BT48" s="28">
        <f t="shared" si="142"/>
        <v>67031.631929099676</v>
      </c>
      <c r="BU48" s="28">
        <f t="shared" si="139"/>
        <v>67031.631929099676</v>
      </c>
      <c r="BV48" s="28">
        <f t="shared" si="140"/>
        <v>45150.13559212473</v>
      </c>
      <c r="BW48" s="687"/>
      <c r="BX48" s="690"/>
      <c r="BY48" s="690"/>
      <c r="BZ48" s="690"/>
      <c r="CA48" s="690"/>
      <c r="CB48" s="831"/>
      <c r="CC48" s="831"/>
      <c r="CD48" s="690"/>
      <c r="CE48" s="831"/>
      <c r="CF48" s="28">
        <f>BT48-BU48</f>
        <v>0</v>
      </c>
      <c r="CG48" s="28">
        <f>BV48-BT48</f>
        <v>-21881.496336974946</v>
      </c>
    </row>
    <row r="49" spans="1:85">
      <c r="A49" s="881" t="s">
        <v>513</v>
      </c>
      <c r="B49" s="869">
        <f>CEILING(Vehicle_life/Battery_life__years,1)-1</f>
        <v>0</v>
      </c>
      <c r="C49" s="224"/>
      <c r="D49" s="224"/>
      <c r="H49" s="4" t="s">
        <v>607</v>
      </c>
      <c r="I49" s="899">
        <f>I44/AI43</f>
        <v>28419.641470104929</v>
      </c>
      <c r="J49" s="899"/>
      <c r="K49" s="900">
        <f>K44/(SUM(Z43:AB43)-Z40)</f>
        <v>131125.26286126138</v>
      </c>
      <c r="L49" s="900"/>
      <c r="AR49" s="661"/>
      <c r="AS49" s="658" t="str">
        <f>Manufacturing!C31</f>
        <v>5% Elec Source</v>
      </c>
      <c r="AT49" s="171" t="str">
        <f>Manufacturing!C32</f>
        <v>95% Elec Source</v>
      </c>
      <c r="AU49" s="662"/>
      <c r="AV49" s="653" t="str">
        <f>AS49</f>
        <v>5% Elec Source</v>
      </c>
      <c r="AW49" s="664" t="str">
        <f>AT49</f>
        <v>95% Elec Source</v>
      </c>
      <c r="AY49" s="890" t="str">
        <f>AP8</f>
        <v>Grid Mix
Cases</v>
      </c>
      <c r="AZ49" s="681" t="str">
        <f>AQ8</f>
        <v>CV</v>
      </c>
      <c r="BA49" s="682">
        <f t="shared" ref="BA49:BA53" si="143">AR8</f>
        <v>4801.5346124455709</v>
      </c>
      <c r="BB49" s="682">
        <f t="shared" ref="BB49:BB53" si="144">AS8</f>
        <v>4801.5346124455709</v>
      </c>
      <c r="BC49" s="682">
        <f t="shared" ref="BC49:BC53" si="145">AT8</f>
        <v>4801.5346124455709</v>
      </c>
      <c r="BD49" s="685"/>
      <c r="BE49" s="666"/>
      <c r="BF49" s="666"/>
      <c r="BG49" s="666"/>
      <c r="BH49" s="666"/>
      <c r="BI49" s="666"/>
      <c r="BJ49" s="666"/>
      <c r="BK49" s="686"/>
      <c r="BL49" s="685"/>
      <c r="BM49" s="770"/>
      <c r="BN49" s="686"/>
      <c r="BO49" s="682">
        <f>BA49-BB49</f>
        <v>0</v>
      </c>
      <c r="BP49" s="682">
        <f>BC49-BA49</f>
        <v>0</v>
      </c>
      <c r="BR49" s="689" t="s">
        <v>241</v>
      </c>
      <c r="BS49" s="91"/>
      <c r="BT49" s="32"/>
      <c r="BU49" s="32"/>
      <c r="BV49" s="32"/>
      <c r="BW49" s="691"/>
      <c r="BX49" s="689"/>
      <c r="BY49" s="689"/>
      <c r="BZ49" s="689"/>
      <c r="CA49" s="689"/>
      <c r="CB49" s="830"/>
      <c r="CC49" s="830"/>
      <c r="CD49" s="689"/>
      <c r="CE49" s="830"/>
      <c r="CF49" s="32"/>
      <c r="CG49" s="32"/>
    </row>
    <row r="50" spans="1:85" ht="12.75" customHeight="1">
      <c r="A50" s="878" t="s">
        <v>63</v>
      </c>
      <c r="B50" s="223">
        <v>0.88</v>
      </c>
      <c r="C50" s="220" t="s">
        <v>16</v>
      </c>
      <c r="D50" s="220" t="s">
        <v>244</v>
      </c>
      <c r="H50" s="665" t="s">
        <v>605</v>
      </c>
      <c r="I50" s="898">
        <f>(AK23-AK26)*I49</f>
        <v>18633180.460784759</v>
      </c>
      <c r="J50" s="898"/>
      <c r="K50" s="901">
        <f>(AK23-AK26)*K49</f>
        <v>85971552.049023807</v>
      </c>
      <c r="L50" s="901"/>
      <c r="Z50" s="171"/>
      <c r="AA50" s="171"/>
      <c r="AB50" s="171"/>
      <c r="AC50" s="171"/>
      <c r="AD50" s="171"/>
      <c r="AE50" s="171"/>
      <c r="AF50" s="171"/>
      <c r="AG50" s="171"/>
      <c r="AH50" s="171"/>
      <c r="AP50" s="893" t="s">
        <v>568</v>
      </c>
      <c r="AQ50" s="652" t="str">
        <f t="shared" ref="AQ50:AQ54" si="146">AQ38</f>
        <v>CV</v>
      </c>
      <c r="AR50" s="705">
        <f>$AK$23</f>
        <v>4801.5346124455709</v>
      </c>
      <c r="AS50" s="703">
        <f t="dataTable" ref="AS50:AT54" dt2D="0" dtr="1" r1="B15" ca="1"/>
        <v>4565.9505803366592</v>
      </c>
      <c r="AT50" s="652">
        <v>4966.0884432687744</v>
      </c>
      <c r="AU50" s="661">
        <f>AI$40</f>
        <v>44587.220125613137</v>
      </c>
      <c r="AV50" s="20">
        <f t="dataTable" ref="AV50:AW54" dt2D="0" dtr="1" r1="B15" ca="1"/>
        <v>44351.636093504232</v>
      </c>
      <c r="AW50" s="660">
        <v>44751.773956436344</v>
      </c>
      <c r="AY50" s="891"/>
      <c r="AZ50" s="91" t="str">
        <f t="shared" ref="AZ50:AZ53" si="147">AQ9</f>
        <v>HEV</v>
      </c>
      <c r="BA50" s="32">
        <f t="shared" si="143"/>
        <v>3910.2272578777161</v>
      </c>
      <c r="BB50" s="32">
        <f t="shared" si="144"/>
        <v>3910.2272578777161</v>
      </c>
      <c r="BC50" s="32">
        <f t="shared" si="145"/>
        <v>3910.2272578777161</v>
      </c>
      <c r="BD50" s="657"/>
      <c r="BE50" s="655"/>
      <c r="BF50" s="655"/>
      <c r="BG50" s="655"/>
      <c r="BH50" s="655"/>
      <c r="BI50" s="655"/>
      <c r="BJ50" s="655"/>
      <c r="BK50" s="659"/>
      <c r="BL50" s="710"/>
      <c r="BM50" s="766"/>
      <c r="BN50" s="692"/>
      <c r="BO50" s="32">
        <f>BA50-BB50</f>
        <v>0</v>
      </c>
      <c r="BP50" s="32">
        <f>BC50-BA50</f>
        <v>0</v>
      </c>
      <c r="BR50" s="890" t="str">
        <f>AP80</f>
        <v>Gasoline
Price Cases</v>
      </c>
      <c r="BS50" s="681" t="str">
        <f>AQ80</f>
        <v>CV</v>
      </c>
      <c r="BT50" s="682">
        <f>AU80</f>
        <v>44587.220125613137</v>
      </c>
      <c r="BU50" s="682">
        <f t="shared" ref="BU50:BU54" si="148">AV80</f>
        <v>39360.19414167761</v>
      </c>
      <c r="BV50" s="682">
        <f t="shared" ref="BV50:BV54" si="149">AW80</f>
        <v>50454.723779349326</v>
      </c>
      <c r="BW50" s="685"/>
      <c r="BX50" s="693"/>
      <c r="BY50" s="693"/>
      <c r="BZ50" s="693"/>
      <c r="CA50" s="693"/>
      <c r="CB50" s="817"/>
      <c r="CC50" s="817"/>
      <c r="CD50" s="693"/>
      <c r="CE50" s="817"/>
      <c r="CF50" s="682">
        <f>BT50-BU50</f>
        <v>5227.0259839355276</v>
      </c>
      <c r="CG50" s="682">
        <f>BV50-BT50</f>
        <v>5867.5036537361884</v>
      </c>
    </row>
    <row r="51" spans="1:85">
      <c r="H51" s="4" t="s">
        <v>608</v>
      </c>
      <c r="I51" s="899">
        <f>I44/AI44</f>
        <v>22377.494875651715</v>
      </c>
      <c r="J51" s="899"/>
      <c r="K51" s="900">
        <f>K44/(SUM(Z44:AB44)-Z40)</f>
        <v>50967.739995619384</v>
      </c>
      <c r="L51" s="900"/>
      <c r="Z51" s="171"/>
      <c r="AA51" s="171"/>
      <c r="AB51" s="171"/>
      <c r="AC51" s="171"/>
      <c r="AD51" s="171"/>
      <c r="AE51" s="171"/>
      <c r="AF51" s="171"/>
      <c r="AG51" s="171"/>
      <c r="AH51" s="171"/>
      <c r="AP51" s="894"/>
      <c r="AQ51" s="20" t="str">
        <f t="shared" si="146"/>
        <v>HEV</v>
      </c>
      <c r="AR51" s="661">
        <f>$AK$24</f>
        <v>3910.2272578777161</v>
      </c>
      <c r="AS51" s="658">
        <v>3652.928316409148</v>
      </c>
      <c r="AT51" s="20">
        <v>4090.019144707901</v>
      </c>
      <c r="AU51" s="661">
        <f>AI$41</f>
        <v>43587.2467938478</v>
      </c>
      <c r="AV51" s="20">
        <v>43329.947852379235</v>
      </c>
      <c r="AW51" s="660">
        <v>43767.038680677986</v>
      </c>
      <c r="AY51" s="891"/>
      <c r="AZ51" s="91" t="str">
        <f t="shared" si="147"/>
        <v>PHEV20</v>
      </c>
      <c r="BA51" s="32">
        <f t="shared" si="143"/>
        <v>3632.7889258841947</v>
      </c>
      <c r="BB51" s="32">
        <f t="shared" si="144"/>
        <v>3370.0383139340011</v>
      </c>
      <c r="BC51" s="32">
        <f t="shared" si="145"/>
        <v>4087.298104563889</v>
      </c>
      <c r="BD51" s="657"/>
      <c r="BE51" s="655"/>
      <c r="BF51" s="655"/>
      <c r="BG51" s="655"/>
      <c r="BH51" s="655"/>
      <c r="BI51" s="655"/>
      <c r="BJ51" s="655"/>
      <c r="BK51" s="659"/>
      <c r="BL51" s="710"/>
      <c r="BM51" s="766"/>
      <c r="BN51" s="692"/>
      <c r="BO51" s="32">
        <f>BA51-BB51</f>
        <v>262.75061195019362</v>
      </c>
      <c r="BP51" s="32">
        <f>BC51-BA51</f>
        <v>454.50917867969429</v>
      </c>
      <c r="BR51" s="891"/>
      <c r="BS51" s="91" t="str">
        <f t="shared" ref="BS51:BS54" si="150">AQ81</f>
        <v>HEV</v>
      </c>
      <c r="BT51" s="32">
        <f t="shared" ref="BT51:BT54" si="151">AU81</f>
        <v>43587.2467938478</v>
      </c>
      <c r="BU51" s="32">
        <f t="shared" si="148"/>
        <v>39853.656805322425</v>
      </c>
      <c r="BV51" s="32">
        <f t="shared" si="149"/>
        <v>47778.320832230791</v>
      </c>
      <c r="BW51" s="691"/>
      <c r="BX51" s="689"/>
      <c r="BY51" s="689"/>
      <c r="BZ51" s="689"/>
      <c r="CA51" s="689"/>
      <c r="CB51" s="830"/>
      <c r="CC51" s="830"/>
      <c r="CD51" s="689"/>
      <c r="CE51" s="830"/>
      <c r="CF51" s="32">
        <f>BT51-BU51</f>
        <v>3733.5899885253748</v>
      </c>
      <c r="CG51" s="32">
        <f>BV51-BT51</f>
        <v>4191.0740383829907</v>
      </c>
    </row>
    <row r="52" spans="1:85">
      <c r="H52" s="665" t="s">
        <v>605</v>
      </c>
      <c r="I52" s="898">
        <f>(AK23-AK27)*I51</f>
        <v>2999913.586511448</v>
      </c>
      <c r="J52" s="898"/>
      <c r="K52" s="901">
        <f>(AK23-AK27)*K51</f>
        <v>6832704.7570014708</v>
      </c>
      <c r="L52" s="901"/>
      <c r="Z52" s="171"/>
      <c r="AA52" s="171"/>
      <c r="AB52" s="171"/>
      <c r="AC52" s="171"/>
      <c r="AD52" s="171"/>
      <c r="AE52" s="171"/>
      <c r="AF52" s="171"/>
      <c r="AG52" s="171"/>
      <c r="AH52" s="171"/>
      <c r="AP52" s="894"/>
      <c r="AQ52" s="20" t="str">
        <f t="shared" si="146"/>
        <v>PHEV20</v>
      </c>
      <c r="AR52" s="661">
        <f>$AK$25</f>
        <v>3632.7889258841947</v>
      </c>
      <c r="AS52" s="658">
        <v>3355.4561812272536</v>
      </c>
      <c r="AT52" s="20">
        <v>3826.637975179543</v>
      </c>
      <c r="AU52" s="661">
        <f>AI$42</f>
        <v>44342.078748103791</v>
      </c>
      <c r="AV52" s="20">
        <v>44064.746003446853</v>
      </c>
      <c r="AW52" s="660">
        <v>44535.927797399141</v>
      </c>
      <c r="AY52" s="891"/>
      <c r="AZ52" s="91" t="str">
        <f t="shared" si="147"/>
        <v>PHEV60</v>
      </c>
      <c r="BA52" s="32">
        <f t="shared" si="143"/>
        <v>4145.8901532997616</v>
      </c>
      <c r="BB52" s="32">
        <f t="shared" si="144"/>
        <v>3373.8760335020688</v>
      </c>
      <c r="BC52" s="32">
        <f t="shared" si="145"/>
        <v>5481.3294921999168</v>
      </c>
      <c r="BD52" s="657"/>
      <c r="BE52" s="655"/>
      <c r="BF52" s="655"/>
      <c r="BG52" s="655"/>
      <c r="BH52" s="655"/>
      <c r="BI52" s="655"/>
      <c r="BJ52" s="655"/>
      <c r="BK52" s="659"/>
      <c r="BL52" s="710"/>
      <c r="BM52" s="766"/>
      <c r="BN52" s="692"/>
      <c r="BO52" s="32">
        <f>BA52-BB52</f>
        <v>772.01411979769273</v>
      </c>
      <c r="BP52" s="32">
        <f>BC52-BA52</f>
        <v>1335.4393389001552</v>
      </c>
      <c r="BR52" s="891"/>
      <c r="BS52" s="91" t="str">
        <f t="shared" si="150"/>
        <v>PHEV20</v>
      </c>
      <c r="BT52" s="32">
        <f t="shared" si="151"/>
        <v>44342.078748103791</v>
      </c>
      <c r="BU52" s="32">
        <f t="shared" si="148"/>
        <v>41308.275696477736</v>
      </c>
      <c r="BV52" s="32">
        <f t="shared" si="149"/>
        <v>47747.619593862</v>
      </c>
      <c r="BW52" s="691"/>
      <c r="BX52" s="689"/>
      <c r="BY52" s="689"/>
      <c r="BZ52" s="689"/>
      <c r="CA52" s="689"/>
      <c r="CB52" s="830"/>
      <c r="CC52" s="830"/>
      <c r="CD52" s="689"/>
      <c r="CE52" s="830"/>
      <c r="CF52" s="32">
        <f>BT52-BU52</f>
        <v>3033.8030516260551</v>
      </c>
      <c r="CG52" s="32">
        <f>BV52-BT52</f>
        <v>3405.5408457582089</v>
      </c>
    </row>
    <row r="53" spans="1:85">
      <c r="Z53" s="171"/>
      <c r="AA53" s="171"/>
      <c r="AB53" s="171"/>
      <c r="AC53" s="171"/>
      <c r="AD53" s="171"/>
      <c r="AE53" s="171"/>
      <c r="AF53" s="171"/>
      <c r="AG53" s="171"/>
      <c r="AH53" s="171"/>
      <c r="AP53" s="894"/>
      <c r="AQ53" s="20" t="str">
        <f t="shared" si="146"/>
        <v>PHEV60</v>
      </c>
      <c r="AR53" s="661">
        <f>$AK$26</f>
        <v>4145.8901532997616</v>
      </c>
      <c r="AS53" s="658">
        <v>3686.2939163660576</v>
      </c>
      <c r="AT53" s="20">
        <v>4467.6323203781467</v>
      </c>
      <c r="AU53" s="661">
        <f>AI$43</f>
        <v>52780.398428948298</v>
      </c>
      <c r="AV53" s="20">
        <v>52320.802192014591</v>
      </c>
      <c r="AW53" s="660">
        <v>53102.140596026686</v>
      </c>
      <c r="AY53" s="892"/>
      <c r="AZ53" s="683" t="str">
        <f t="shared" si="147"/>
        <v>BEV240</v>
      </c>
      <c r="BA53" s="28">
        <f t="shared" si="143"/>
        <v>4667.4752102121438</v>
      </c>
      <c r="BB53" s="28">
        <f t="shared" si="144"/>
        <v>2905.4301141452202</v>
      </c>
      <c r="BC53" s="28">
        <f t="shared" si="145"/>
        <v>7715.4820767452402</v>
      </c>
      <c r="BD53" s="687"/>
      <c r="BE53" s="656"/>
      <c r="BF53" s="656"/>
      <c r="BG53" s="656"/>
      <c r="BH53" s="656"/>
      <c r="BI53" s="656"/>
      <c r="BJ53" s="656"/>
      <c r="BK53" s="688"/>
      <c r="BL53" s="687"/>
      <c r="BM53" s="767"/>
      <c r="BN53" s="688"/>
      <c r="BO53" s="28">
        <f>BA53-BB53</f>
        <v>1762.0450960669236</v>
      </c>
      <c r="BP53" s="28">
        <f>BC53-BA53</f>
        <v>3048.0068665330964</v>
      </c>
      <c r="BR53" s="891"/>
      <c r="BS53" s="91" t="str">
        <f t="shared" si="150"/>
        <v>PHEV60</v>
      </c>
      <c r="BT53" s="32">
        <f t="shared" si="151"/>
        <v>52780.398428948298</v>
      </c>
      <c r="BU53" s="32">
        <f t="shared" si="148"/>
        <v>50152.831374472422</v>
      </c>
      <c r="BV53" s="32">
        <f t="shared" si="149"/>
        <v>55729.926389964116</v>
      </c>
      <c r="BW53" s="691"/>
      <c r="BX53" s="689"/>
      <c r="BY53" s="689"/>
      <c r="BZ53" s="689"/>
      <c r="CA53" s="689"/>
      <c r="CB53" s="830"/>
      <c r="CC53" s="830"/>
      <c r="CD53" s="689"/>
      <c r="CE53" s="830"/>
      <c r="CF53" s="32">
        <f>BT53-BU53</f>
        <v>2627.5670544758759</v>
      </c>
      <c r="CG53" s="32">
        <f>BV53-BT53</f>
        <v>2949.5279610158177</v>
      </c>
    </row>
    <row r="54" spans="1:85" ht="12.75" customHeight="1">
      <c r="I54" s="745"/>
      <c r="Z54" s="171"/>
      <c r="AA54" s="171"/>
      <c r="AB54" s="171"/>
      <c r="AC54" s="171"/>
      <c r="AD54" s="171"/>
      <c r="AE54" s="171"/>
      <c r="AF54" s="171"/>
      <c r="AG54" s="171"/>
      <c r="AH54" s="171"/>
      <c r="AP54" s="895"/>
      <c r="AQ54" s="653" t="str">
        <f t="shared" si="146"/>
        <v>BEV240</v>
      </c>
      <c r="AR54" s="662">
        <f>$AK$27</f>
        <v>4667.4752102121438</v>
      </c>
      <c r="AS54" s="663">
        <v>3492.6421570654597</v>
      </c>
      <c r="AT54" s="653">
        <v>5501.812417201013</v>
      </c>
      <c r="AU54" s="661">
        <f>AI$44</f>
        <v>67031.631929099676</v>
      </c>
      <c r="AV54" s="20">
        <v>65856.798875952998</v>
      </c>
      <c r="AW54" s="660">
        <v>67865.969136088548</v>
      </c>
      <c r="AY54" s="655" t="s">
        <v>241</v>
      </c>
      <c r="AZ54" s="91"/>
      <c r="BA54" s="32"/>
      <c r="BB54" s="32"/>
      <c r="BC54" s="32"/>
      <c r="BD54" s="657"/>
      <c r="BE54" s="655"/>
      <c r="BF54" s="655"/>
      <c r="BG54" s="655"/>
      <c r="BH54" s="655"/>
      <c r="BI54" s="655"/>
      <c r="BJ54" s="655"/>
      <c r="BK54" s="659"/>
      <c r="BL54" s="710"/>
      <c r="BM54" s="766"/>
      <c r="BN54" s="692"/>
      <c r="BO54" s="32"/>
      <c r="BP54" s="32"/>
      <c r="BR54" s="892"/>
      <c r="BS54" s="683" t="str">
        <f t="shared" si="150"/>
        <v>BEV240</v>
      </c>
      <c r="BT54" s="28">
        <f t="shared" si="151"/>
        <v>67031.631929099676</v>
      </c>
      <c r="BU54" s="28">
        <f t="shared" si="148"/>
        <v>67031.631929099676</v>
      </c>
      <c r="BV54" s="28">
        <f t="shared" si="149"/>
        <v>67031.631929099676</v>
      </c>
      <c r="BW54" s="687"/>
      <c r="BX54" s="690"/>
      <c r="BY54" s="690"/>
      <c r="BZ54" s="690"/>
      <c r="CA54" s="690"/>
      <c r="CB54" s="831"/>
      <c r="CC54" s="831"/>
      <c r="CD54" s="690"/>
      <c r="CE54" s="831"/>
      <c r="CF54" s="28">
        <f>BT54-BU54</f>
        <v>0</v>
      </c>
      <c r="CG54" s="28">
        <f>BV54-BT54</f>
        <v>0</v>
      </c>
    </row>
    <row r="55" spans="1:85">
      <c r="H55" s="665"/>
      <c r="I55" s="862" t="s">
        <v>767</v>
      </c>
      <c r="J55" s="653" t="s">
        <v>766</v>
      </c>
      <c r="AP55" s="669"/>
      <c r="AQ55" s="654"/>
      <c r="AR55" s="706"/>
      <c r="AS55" s="704" t="str">
        <f>Vehicle!A42</f>
        <v>GREET1.8d (2010)</v>
      </c>
      <c r="AT55" s="654" t="str">
        <f>Vehicle!A44</f>
        <v>GREET1.8d (2020)</v>
      </c>
      <c r="AU55" s="662"/>
      <c r="AV55" s="653" t="str">
        <f>AS55</f>
        <v>GREET1.8d (2010)</v>
      </c>
      <c r="AW55" s="664" t="str">
        <f>AT55</f>
        <v>GREET1.8d (2020)</v>
      </c>
      <c r="AY55" s="890" t="s">
        <v>742</v>
      </c>
      <c r="AZ55" s="681" t="str">
        <f>AQ14</f>
        <v>CV</v>
      </c>
      <c r="BA55" s="682">
        <f t="shared" ref="BA55:BC59" si="152">AR14</f>
        <v>4801.5346124455709</v>
      </c>
      <c r="BB55" s="682">
        <f t="shared" si="152"/>
        <v>4801.5346124455709</v>
      </c>
      <c r="BC55" s="682">
        <f t="shared" si="152"/>
        <v>4801.5346124455709</v>
      </c>
      <c r="BD55" s="685"/>
      <c r="BE55" s="666"/>
      <c r="BF55" s="666"/>
      <c r="BG55" s="666"/>
      <c r="BH55" s="666"/>
      <c r="BI55" s="666"/>
      <c r="BJ55" s="666"/>
      <c r="BK55" s="686"/>
      <c r="BL55" s="685"/>
      <c r="BM55" s="770"/>
      <c r="BN55" s="686"/>
      <c r="BO55" s="682">
        <f>BA55-BB55</f>
        <v>0</v>
      </c>
      <c r="BP55" s="682">
        <f>BC55-BA55</f>
        <v>0</v>
      </c>
      <c r="BR55" s="689" t="s">
        <v>241</v>
      </c>
      <c r="BS55" s="91"/>
      <c r="BT55" s="32"/>
      <c r="BU55" s="32"/>
      <c r="BV55" s="32"/>
      <c r="BW55" s="691"/>
      <c r="BX55" s="689"/>
      <c r="BY55" s="689"/>
      <c r="BZ55" s="689"/>
      <c r="CA55" s="689"/>
      <c r="CB55" s="830"/>
      <c r="CC55" s="830"/>
      <c r="CD55" s="689"/>
      <c r="CE55" s="830"/>
      <c r="CF55" s="32"/>
      <c r="CG55" s="32"/>
    </row>
    <row r="56" spans="1:85" ht="13.5" customHeight="1" thickBot="1">
      <c r="H56" s="4" t="s">
        <v>9</v>
      </c>
      <c r="I56" s="860">
        <f>K45/1000</f>
        <v>389.76930557405285</v>
      </c>
      <c r="J56" s="20">
        <f>K46/1000000</f>
        <v>347.40424864295886</v>
      </c>
      <c r="K56" s="861"/>
      <c r="AP56" s="893" t="s">
        <v>569</v>
      </c>
      <c r="AQ56" s="652" t="str">
        <f>Y23</f>
        <v>CV</v>
      </c>
      <c r="AR56" s="705">
        <f>$AK$23</f>
        <v>4801.5346124455709</v>
      </c>
      <c r="AS56" s="703">
        <f t="dataTable" ref="AS56:AT60" dt2D="0" dtr="1" r1="B16" ca="1"/>
        <v>4801.5346124455709</v>
      </c>
      <c r="AT56" s="652">
        <v>4281.8432748261557</v>
      </c>
      <c r="AU56" s="661">
        <f>AI$40</f>
        <v>44587.220125613137</v>
      </c>
      <c r="AV56" s="20">
        <f t="dataTable" ref="AV56:AW60" dt2D="0" dtr="1" r1="B16" ca="1"/>
        <v>44587.220125613137</v>
      </c>
      <c r="AW56" s="660">
        <v>42116.319080410511</v>
      </c>
      <c r="AY56" s="891"/>
      <c r="AZ56" s="91" t="str">
        <f t="shared" ref="AZ56:AZ59" si="153">AQ15</f>
        <v>HEV</v>
      </c>
      <c r="BA56" s="32">
        <f t="shared" si="152"/>
        <v>3910.2272578777161</v>
      </c>
      <c r="BB56" s="32">
        <f t="shared" si="152"/>
        <v>3910.2272578777161</v>
      </c>
      <c r="BC56" s="32">
        <f t="shared" si="152"/>
        <v>3910.2272578777161</v>
      </c>
      <c r="BD56" s="657"/>
      <c r="BE56" s="655"/>
      <c r="BF56" s="655"/>
      <c r="BG56" s="655"/>
      <c r="BH56" s="655"/>
      <c r="BI56" s="655"/>
      <c r="BJ56" s="655"/>
      <c r="BK56" s="659"/>
      <c r="BL56" s="710"/>
      <c r="BM56" s="766"/>
      <c r="BN56" s="692"/>
      <c r="BO56" s="32">
        <f>BA56-BB56</f>
        <v>0</v>
      </c>
      <c r="BP56" s="32">
        <f>BC56-BA56</f>
        <v>0</v>
      </c>
      <c r="BR56" s="890" t="str">
        <f>AP86</f>
        <v>Electricity 
Price Cases</v>
      </c>
      <c r="BS56" s="681" t="str">
        <f>AQ86</f>
        <v>CV</v>
      </c>
      <c r="BT56" s="682">
        <f>AU86</f>
        <v>44587.220125613137</v>
      </c>
      <c r="BU56" s="682">
        <f t="shared" ref="BU56:BU60" si="154">AV86</f>
        <v>44587.220125613137</v>
      </c>
      <c r="BV56" s="682">
        <f t="shared" ref="BV56:BV60" si="155">AW86</f>
        <v>44587.220125613137</v>
      </c>
      <c r="BW56" s="685"/>
      <c r="BX56" s="709"/>
      <c r="BY56" s="709"/>
      <c r="BZ56" s="709"/>
      <c r="CA56" s="709"/>
      <c r="CB56" s="817"/>
      <c r="CC56" s="817"/>
      <c r="CD56" s="709"/>
      <c r="CE56" s="817"/>
      <c r="CF56" s="682">
        <f>BT56-BU56</f>
        <v>0</v>
      </c>
      <c r="CG56" s="682">
        <f>BV56-BT56</f>
        <v>0</v>
      </c>
    </row>
    <row r="57" spans="1:85" ht="13.5" thickBot="1">
      <c r="H57" s="4" t="s">
        <v>10</v>
      </c>
      <c r="I57" s="860">
        <f>K47/1000</f>
        <v>284.18977203783112</v>
      </c>
      <c r="J57" s="20">
        <f>K48/1000000</f>
        <v>332.14557023407599</v>
      </c>
      <c r="K57" s="861"/>
      <c r="Y57" s="588"/>
      <c r="Z57" s="588"/>
      <c r="AA57" s="605" t="str">
        <f t="shared" ref="AA57:AK58" si="156">I6</f>
        <v>GHGs</v>
      </c>
      <c r="AB57" s="606" t="str">
        <f t="shared" si="156"/>
        <v>CO</v>
      </c>
      <c r="AC57" s="606" t="str">
        <f t="shared" si="156"/>
        <v>NH3</v>
      </c>
      <c r="AD57" s="606" t="str">
        <f t="shared" si="156"/>
        <v>NOx</v>
      </c>
      <c r="AE57" s="606" t="str">
        <f t="shared" si="156"/>
        <v>PM10</v>
      </c>
      <c r="AF57" s="606" t="str">
        <f t="shared" si="156"/>
        <v>PM2.5</v>
      </c>
      <c r="AG57" s="606" t="str">
        <f t="shared" si="156"/>
        <v>SO2</v>
      </c>
      <c r="AH57" s="607" t="str">
        <f t="shared" si="156"/>
        <v>VOC</v>
      </c>
      <c r="AI57" s="605" t="str">
        <f t="shared" si="156"/>
        <v>Disruption</v>
      </c>
      <c r="AJ57" s="606" t="str">
        <f t="shared" si="156"/>
        <v>Monopsony</v>
      </c>
      <c r="AK57" s="607" t="str">
        <f t="shared" si="156"/>
        <v>Military</v>
      </c>
      <c r="AL57" s="810"/>
      <c r="AM57" s="810"/>
      <c r="AP57" s="894"/>
      <c r="AQ57" s="20" t="str">
        <f>Y24</f>
        <v>HEV</v>
      </c>
      <c r="AR57" s="661">
        <f>$AK$24</f>
        <v>3910.2272578777161</v>
      </c>
      <c r="AS57" s="658">
        <v>3910.2272578777161</v>
      </c>
      <c r="AT57" s="20">
        <v>3539.2272707758125</v>
      </c>
      <c r="AU57" s="661">
        <f>AI$41</f>
        <v>43587.2467938478</v>
      </c>
      <c r="AV57" s="20">
        <v>43587.2467938478</v>
      </c>
      <c r="AW57" s="660">
        <v>41822.525587043609</v>
      </c>
      <c r="AY57" s="891"/>
      <c r="AZ57" s="91" t="str">
        <f t="shared" si="153"/>
        <v>PHEV20</v>
      </c>
      <c r="BA57" s="32">
        <f t="shared" si="152"/>
        <v>3632.7889258841947</v>
      </c>
      <c r="BB57" s="32">
        <f t="shared" si="152"/>
        <v>3632.7889258841947</v>
      </c>
      <c r="BC57" s="32">
        <f t="shared" si="152"/>
        <v>3632.5115474197278</v>
      </c>
      <c r="BD57" s="657"/>
      <c r="BE57" s="655"/>
      <c r="BF57" s="655"/>
      <c r="BG57" s="655"/>
      <c r="BH57" s="655"/>
      <c r="BI57" s="655"/>
      <c r="BJ57" s="655"/>
      <c r="BK57" s="659"/>
      <c r="BL57" s="710"/>
      <c r="BM57" s="766"/>
      <c r="BN57" s="692"/>
      <c r="BO57" s="32">
        <f>BA57-BB57</f>
        <v>0</v>
      </c>
      <c r="BP57" s="32">
        <f>BC57-BA57</f>
        <v>-0.27737846446689218</v>
      </c>
      <c r="BR57" s="891"/>
      <c r="BS57" s="91" t="str">
        <f t="shared" ref="BS57:BS60" si="157">AQ87</f>
        <v>HEV</v>
      </c>
      <c r="BT57" s="32">
        <f t="shared" ref="BT57:BT60" si="158">AU87</f>
        <v>43587.2467938478</v>
      </c>
      <c r="BU57" s="32">
        <f t="shared" si="154"/>
        <v>43587.2467938478</v>
      </c>
      <c r="BV57" s="32">
        <f t="shared" si="155"/>
        <v>43587.2467938478</v>
      </c>
      <c r="BW57" s="710"/>
      <c r="BX57" s="707"/>
      <c r="BY57" s="707"/>
      <c r="BZ57" s="707"/>
      <c r="CA57" s="707"/>
      <c r="CB57" s="830"/>
      <c r="CC57" s="830"/>
      <c r="CD57" s="707"/>
      <c r="CE57" s="830"/>
      <c r="CF57" s="32">
        <f>BT57-BU57</f>
        <v>0</v>
      </c>
      <c r="CG57" s="32">
        <f>BV57-BT57</f>
        <v>0</v>
      </c>
    </row>
    <row r="58" spans="1:85">
      <c r="H58" s="4" t="s">
        <v>11</v>
      </c>
      <c r="I58" s="860">
        <f>K49/1000</f>
        <v>131.12526286126138</v>
      </c>
      <c r="J58" s="20">
        <f>K50/1000000</f>
        <v>85.971552049023813</v>
      </c>
      <c r="K58" s="861"/>
      <c r="Y58" s="909" t="str">
        <f>H7</f>
        <v>Vehicle Production</v>
      </c>
      <c r="Z58" s="601" t="str">
        <f>G7</f>
        <v>CV</v>
      </c>
      <c r="AA58" s="589">
        <f t="shared" si="156"/>
        <v>315.74998602918447</v>
      </c>
      <c r="AB58" s="590">
        <f t="shared" si="156"/>
        <v>17.82730736054982</v>
      </c>
      <c r="AC58" s="590">
        <f t="shared" si="156"/>
        <v>0</v>
      </c>
      <c r="AD58" s="590">
        <f t="shared" si="156"/>
        <v>29.876306949910955</v>
      </c>
      <c r="AE58" s="590">
        <f t="shared" si="156"/>
        <v>59.782245499168752</v>
      </c>
      <c r="AF58" s="590">
        <f t="shared" si="156"/>
        <v>161.5457188050606</v>
      </c>
      <c r="AG58" s="590">
        <f t="shared" si="156"/>
        <v>264.34696665071482</v>
      </c>
      <c r="AH58" s="591">
        <f t="shared" si="156"/>
        <v>79.169030366360815</v>
      </c>
      <c r="AI58" s="589">
        <f t="shared" si="156"/>
        <v>0</v>
      </c>
      <c r="AJ58" s="590">
        <f t="shared" si="156"/>
        <v>0</v>
      </c>
      <c r="AK58" s="591">
        <f t="shared" si="156"/>
        <v>0</v>
      </c>
      <c r="AL58" s="593"/>
      <c r="AM58" s="593"/>
      <c r="AP58" s="894"/>
      <c r="AQ58" s="20" t="str">
        <f>Y25</f>
        <v>PHEV20</v>
      </c>
      <c r="AR58" s="661">
        <f>$AK$25</f>
        <v>3632.7889258841947</v>
      </c>
      <c r="AS58" s="658">
        <v>3632.7889258841947</v>
      </c>
      <c r="AT58" s="20">
        <v>3244.6460654505472</v>
      </c>
      <c r="AU58" s="661">
        <f>AI$42</f>
        <v>44342.078748103791</v>
      </c>
      <c r="AV58" s="20">
        <v>44342.078748103791</v>
      </c>
      <c r="AW58" s="660">
        <v>42492.963447425267</v>
      </c>
      <c r="AY58" s="891"/>
      <c r="AZ58" s="91" t="str">
        <f t="shared" si="153"/>
        <v>PHEV60</v>
      </c>
      <c r="BA58" s="32">
        <f t="shared" si="152"/>
        <v>4145.8901532997616</v>
      </c>
      <c r="BB58" s="32">
        <f t="shared" si="152"/>
        <v>4145.8901532997616</v>
      </c>
      <c r="BC58" s="32">
        <f t="shared" si="152"/>
        <v>4145.0751596085702</v>
      </c>
      <c r="BD58" s="657"/>
      <c r="BE58" s="655"/>
      <c r="BF58" s="655"/>
      <c r="BG58" s="655"/>
      <c r="BH58" s="655"/>
      <c r="BI58" s="655"/>
      <c r="BJ58" s="655"/>
      <c r="BK58" s="659"/>
      <c r="BL58" s="710"/>
      <c r="BM58" s="766"/>
      <c r="BN58" s="692"/>
      <c r="BO58" s="32">
        <f>BA58-BB58</f>
        <v>0</v>
      </c>
      <c r="BP58" s="32">
        <f>BC58-BA58</f>
        <v>-0.81499369119137555</v>
      </c>
      <c r="BR58" s="891"/>
      <c r="BS58" s="91" t="str">
        <f t="shared" si="157"/>
        <v>PHEV20</v>
      </c>
      <c r="BT58" s="32">
        <f t="shared" si="158"/>
        <v>44342.078748103791</v>
      </c>
      <c r="BU58" s="32">
        <f t="shared" si="154"/>
        <v>44257.076472935325</v>
      </c>
      <c r="BV58" s="32">
        <f t="shared" si="155"/>
        <v>44389.294277529014</v>
      </c>
      <c r="BW58" s="710"/>
      <c r="BX58" s="707"/>
      <c r="BY58" s="707"/>
      <c r="BZ58" s="707"/>
      <c r="CA58" s="707"/>
      <c r="CB58" s="830"/>
      <c r="CC58" s="830"/>
      <c r="CD58" s="707"/>
      <c r="CE58" s="830"/>
      <c r="CF58" s="32">
        <f>BT58-BU58</f>
        <v>85.00227516846644</v>
      </c>
      <c r="CG58" s="32">
        <f>BV58-BT58</f>
        <v>47.215529425222485</v>
      </c>
    </row>
    <row r="59" spans="1:85">
      <c r="H59" s="4" t="s">
        <v>554</v>
      </c>
      <c r="I59" s="860">
        <f>K51/1000</f>
        <v>50.967739995619382</v>
      </c>
      <c r="J59" s="20">
        <f>K52/1000000</f>
        <v>6.832704757001471</v>
      </c>
      <c r="K59" s="861"/>
      <c r="Y59" s="896"/>
      <c r="Z59" s="602" t="str">
        <f>G13</f>
        <v>HEV</v>
      </c>
      <c r="AA59" s="592">
        <f t="shared" ref="AA59:AK59" si="159">I13</f>
        <v>287.3921752306137</v>
      </c>
      <c r="AB59" s="593">
        <f t="shared" si="159"/>
        <v>15.665186225845471</v>
      </c>
      <c r="AC59" s="593">
        <f t="shared" si="159"/>
        <v>0</v>
      </c>
      <c r="AD59" s="593">
        <f t="shared" si="159"/>
        <v>27.768727601133531</v>
      </c>
      <c r="AE59" s="593">
        <f t="shared" si="159"/>
        <v>52.039081304267995</v>
      </c>
      <c r="AF59" s="593">
        <f t="shared" si="159"/>
        <v>141.69764167722886</v>
      </c>
      <c r="AG59" s="593">
        <f t="shared" si="159"/>
        <v>311.29636934089109</v>
      </c>
      <c r="AH59" s="594">
        <f t="shared" si="159"/>
        <v>78.656432251342636</v>
      </c>
      <c r="AI59" s="592">
        <f t="shared" si="159"/>
        <v>0</v>
      </c>
      <c r="AJ59" s="593">
        <f t="shared" si="159"/>
        <v>0</v>
      </c>
      <c r="AK59" s="594">
        <f t="shared" si="159"/>
        <v>0</v>
      </c>
      <c r="AL59" s="593"/>
      <c r="AM59" s="593"/>
      <c r="AP59" s="894"/>
      <c r="AQ59" s="20" t="str">
        <f>Y26</f>
        <v>PHEV60</v>
      </c>
      <c r="AR59" s="661">
        <f>$AK$26</f>
        <v>4145.8901532997616</v>
      </c>
      <c r="AS59" s="658">
        <v>4145.8901532997616</v>
      </c>
      <c r="AT59" s="20">
        <v>3731.5071096440442</v>
      </c>
      <c r="AU59" s="661">
        <f>AI$43</f>
        <v>52780.398428948298</v>
      </c>
      <c r="AV59" s="20">
        <v>52780.398428948298</v>
      </c>
      <c r="AW59" s="660">
        <v>50839.946788880145</v>
      </c>
      <c r="AY59" s="892"/>
      <c r="AZ59" s="683" t="str">
        <f t="shared" si="153"/>
        <v>BEV240</v>
      </c>
      <c r="BA59" s="28">
        <f t="shared" si="152"/>
        <v>4667.4752102121438</v>
      </c>
      <c r="BB59" s="28">
        <f t="shared" si="152"/>
        <v>4667.4752102121438</v>
      </c>
      <c r="BC59" s="28">
        <f t="shared" si="152"/>
        <v>4665.6150685384846</v>
      </c>
      <c r="BD59" s="687"/>
      <c r="BE59" s="656"/>
      <c r="BF59" s="656"/>
      <c r="BG59" s="656"/>
      <c r="BH59" s="656"/>
      <c r="BI59" s="656"/>
      <c r="BJ59" s="656"/>
      <c r="BK59" s="688"/>
      <c r="BL59" s="687"/>
      <c r="BM59" s="767"/>
      <c r="BN59" s="688"/>
      <c r="BO59" s="28">
        <f>BA59-BB59</f>
        <v>0</v>
      </c>
      <c r="BP59" s="28">
        <f>BC59-BA59</f>
        <v>-1.8601416736592</v>
      </c>
      <c r="BR59" s="891"/>
      <c r="BS59" s="91" t="str">
        <f t="shared" si="157"/>
        <v>PHEV60</v>
      </c>
      <c r="BT59" s="32">
        <f t="shared" si="158"/>
        <v>52780.398428948298</v>
      </c>
      <c r="BU59" s="32">
        <f t="shared" si="154"/>
        <v>52530.644656129596</v>
      </c>
      <c r="BV59" s="32">
        <f t="shared" si="155"/>
        <v>52919.127146340987</v>
      </c>
      <c r="BW59" s="710"/>
      <c r="BX59" s="707"/>
      <c r="BY59" s="707"/>
      <c r="BZ59" s="707"/>
      <c r="CA59" s="707"/>
      <c r="CB59" s="830"/>
      <c r="CC59" s="830"/>
      <c r="CD59" s="707"/>
      <c r="CE59" s="830"/>
      <c r="CF59" s="32">
        <f>BT59-BU59</f>
        <v>249.75377281870169</v>
      </c>
      <c r="CG59" s="32">
        <f>BV59-BT59</f>
        <v>138.72871739268885</v>
      </c>
    </row>
    <row r="60" spans="1:85" ht="12.75" customHeight="1">
      <c r="Y60" s="896"/>
      <c r="Z60" s="602" t="str">
        <f>G19</f>
        <v>PHEV20</v>
      </c>
      <c r="AA60" s="592">
        <f t="shared" ref="AA60:AK60" si="160">I19</f>
        <v>290.87308986036447</v>
      </c>
      <c r="AB60" s="593">
        <f t="shared" si="160"/>
        <v>15.937544789563287</v>
      </c>
      <c r="AC60" s="593">
        <f t="shared" si="160"/>
        <v>0</v>
      </c>
      <c r="AD60" s="593">
        <f t="shared" si="160"/>
        <v>27.999601076612837</v>
      </c>
      <c r="AE60" s="593">
        <f t="shared" si="160"/>
        <v>52.730606046682063</v>
      </c>
      <c r="AF60" s="593">
        <f t="shared" si="160"/>
        <v>143.56446134298878</v>
      </c>
      <c r="AG60" s="593">
        <f t="shared" si="160"/>
        <v>315.30861466271887</v>
      </c>
      <c r="AH60" s="594">
        <f t="shared" si="160"/>
        <v>78.685222901623064</v>
      </c>
      <c r="AI60" s="592">
        <f t="shared" si="160"/>
        <v>0</v>
      </c>
      <c r="AJ60" s="593">
        <f t="shared" si="160"/>
        <v>0</v>
      </c>
      <c r="AK60" s="594">
        <f t="shared" si="160"/>
        <v>0</v>
      </c>
      <c r="AL60" s="593"/>
      <c r="AM60" s="593"/>
      <c r="AP60" s="895"/>
      <c r="AQ60" s="653" t="str">
        <f>Y27</f>
        <v>BEV240</v>
      </c>
      <c r="AR60" s="662">
        <f>$AK$27</f>
        <v>4667.4752102121438</v>
      </c>
      <c r="AS60" s="663">
        <v>4667.4752102121438</v>
      </c>
      <c r="AT60" s="653">
        <v>4297.1201430777919</v>
      </c>
      <c r="AU60" s="661">
        <f>AI$44</f>
        <v>67031.631929099676</v>
      </c>
      <c r="AV60" s="20">
        <v>67031.631929099676</v>
      </c>
      <c r="AW60" s="660">
        <v>65551.094236600809</v>
      </c>
      <c r="AY60" s="655" t="s">
        <v>241</v>
      </c>
      <c r="AZ60" s="91"/>
      <c r="BA60" s="32"/>
      <c r="BB60" s="32"/>
      <c r="BC60" s="32"/>
      <c r="BD60" s="657"/>
      <c r="BE60" s="655"/>
      <c r="BF60" s="655"/>
      <c r="BG60" s="655"/>
      <c r="BH60" s="655"/>
      <c r="BI60" s="655"/>
      <c r="BJ60" s="655"/>
      <c r="BK60" s="659"/>
      <c r="BL60" s="710"/>
      <c r="BM60" s="766"/>
      <c r="BN60" s="692"/>
      <c r="BO60" s="32"/>
      <c r="BP60" s="32"/>
      <c r="BR60" s="892"/>
      <c r="BS60" s="683" t="str">
        <f t="shared" si="157"/>
        <v>BEV240</v>
      </c>
      <c r="BT60" s="28">
        <f t="shared" si="158"/>
        <v>67031.631929099676</v>
      </c>
      <c r="BU60" s="28">
        <f t="shared" si="154"/>
        <v>66461.593895682978</v>
      </c>
      <c r="BV60" s="28">
        <f t="shared" si="155"/>
        <v>67348.266366083175</v>
      </c>
      <c r="BW60" s="687"/>
      <c r="BX60" s="708"/>
      <c r="BY60" s="708"/>
      <c r="BZ60" s="708"/>
      <c r="CA60" s="708"/>
      <c r="CB60" s="831"/>
      <c r="CC60" s="831"/>
      <c r="CD60" s="708"/>
      <c r="CE60" s="831"/>
      <c r="CF60" s="28">
        <f>BT60-BU60</f>
        <v>570.03803341669845</v>
      </c>
      <c r="CG60" s="28">
        <f>BV60-BT60</f>
        <v>316.63443698349874</v>
      </c>
    </row>
    <row r="61" spans="1:85">
      <c r="Y61" s="896"/>
      <c r="Z61" s="602" t="str">
        <f>G25</f>
        <v>PHEV60</v>
      </c>
      <c r="AA61" s="592">
        <f t="shared" ref="AA61:AK61" si="161">I25</f>
        <v>290.87308986036447</v>
      </c>
      <c r="AB61" s="593">
        <f t="shared" si="161"/>
        <v>15.937544789563287</v>
      </c>
      <c r="AC61" s="593">
        <f t="shared" si="161"/>
        <v>0</v>
      </c>
      <c r="AD61" s="593">
        <f t="shared" si="161"/>
        <v>27.999601076612837</v>
      </c>
      <c r="AE61" s="593">
        <f t="shared" si="161"/>
        <v>52.730606046682063</v>
      </c>
      <c r="AF61" s="593">
        <f t="shared" si="161"/>
        <v>143.56446134298878</v>
      </c>
      <c r="AG61" s="593">
        <f t="shared" si="161"/>
        <v>315.30861466271887</v>
      </c>
      <c r="AH61" s="594">
        <f t="shared" si="161"/>
        <v>78.685222901623064</v>
      </c>
      <c r="AI61" s="592">
        <f t="shared" si="161"/>
        <v>0</v>
      </c>
      <c r="AJ61" s="593">
        <f t="shared" si="161"/>
        <v>0</v>
      </c>
      <c r="AK61" s="594">
        <f t="shared" si="161"/>
        <v>0</v>
      </c>
      <c r="AL61" s="593"/>
      <c r="AM61" s="593"/>
      <c r="AR61" s="661"/>
      <c r="AS61" s="714">
        <v>6</v>
      </c>
      <c r="AT61" s="711">
        <v>12</v>
      </c>
      <c r="AU61" s="712"/>
      <c r="AV61" s="713">
        <f>AS61</f>
        <v>6</v>
      </c>
      <c r="AW61" s="716">
        <f>AT61</f>
        <v>12</v>
      </c>
      <c r="AY61" s="890" t="s">
        <v>737</v>
      </c>
      <c r="AZ61" s="681" t="str">
        <f>AQ20</f>
        <v>CV</v>
      </c>
      <c r="BA61" s="682">
        <f t="shared" ref="BA61:BA65" si="162">AR20</f>
        <v>4801.5346124455709</v>
      </c>
      <c r="BB61" s="682">
        <f t="shared" ref="BB61:BB65" si="163">AS20</f>
        <v>4614.9106552413714</v>
      </c>
      <c r="BC61" s="682">
        <f t="shared" ref="BC61:BC65" si="164">AT20</f>
        <v>5909.9276043831615</v>
      </c>
      <c r="BD61" s="685"/>
      <c r="BE61" s="666"/>
      <c r="BF61" s="666"/>
      <c r="BG61" s="666"/>
      <c r="BH61" s="666"/>
      <c r="BI61" s="666"/>
      <c r="BJ61" s="666"/>
      <c r="BK61" s="686"/>
      <c r="BL61" s="685"/>
      <c r="BM61" s="770"/>
      <c r="BN61" s="686"/>
      <c r="BO61" s="682">
        <f>BA61-BB61</f>
        <v>186.62395720419954</v>
      </c>
      <c r="BP61" s="682">
        <f>BC61-BA61</f>
        <v>1108.3929919375905</v>
      </c>
      <c r="BR61" s="707" t="s">
        <v>241</v>
      </c>
      <c r="BS61" s="91"/>
      <c r="BT61" s="32"/>
      <c r="BU61" s="32"/>
      <c r="BV61" s="32"/>
      <c r="BW61" s="710"/>
      <c r="BX61" s="707"/>
      <c r="BY61" s="707"/>
      <c r="BZ61" s="707"/>
      <c r="CA61" s="707"/>
      <c r="CB61" s="830"/>
      <c r="CC61" s="830"/>
      <c r="CD61" s="707"/>
      <c r="CE61" s="830"/>
      <c r="CF61" s="32"/>
      <c r="CG61" s="32"/>
    </row>
    <row r="62" spans="1:85" ht="12.75" customHeight="1">
      <c r="Y62" s="897"/>
      <c r="Z62" s="603" t="str">
        <f>G31</f>
        <v>BEV240</v>
      </c>
      <c r="AA62" s="595">
        <f t="shared" ref="AA62:AK62" si="165">I31</f>
        <v>290.87308986036447</v>
      </c>
      <c r="AB62" s="596">
        <f t="shared" si="165"/>
        <v>15.937544789563287</v>
      </c>
      <c r="AC62" s="596">
        <f t="shared" si="165"/>
        <v>0</v>
      </c>
      <c r="AD62" s="596">
        <f t="shared" si="165"/>
        <v>27.999601076612837</v>
      </c>
      <c r="AE62" s="596">
        <f t="shared" si="165"/>
        <v>52.730606046682063</v>
      </c>
      <c r="AF62" s="596">
        <f t="shared" si="165"/>
        <v>143.56446134298878</v>
      </c>
      <c r="AG62" s="596">
        <f t="shared" si="165"/>
        <v>315.30861466271887</v>
      </c>
      <c r="AH62" s="597">
        <f t="shared" si="165"/>
        <v>78.685222901623064</v>
      </c>
      <c r="AI62" s="595">
        <f t="shared" si="165"/>
        <v>0</v>
      </c>
      <c r="AJ62" s="596">
        <f t="shared" si="165"/>
        <v>0</v>
      </c>
      <c r="AK62" s="597">
        <f t="shared" si="165"/>
        <v>0</v>
      </c>
      <c r="AL62" s="593"/>
      <c r="AM62" s="593"/>
      <c r="AP62" s="893" t="s">
        <v>573</v>
      </c>
      <c r="AQ62" s="652" t="str">
        <f t="shared" ref="AQ62:AQ66" si="166">AQ50</f>
        <v>CV</v>
      </c>
      <c r="AR62" s="705">
        <f>$AK$23</f>
        <v>4801.5346124455709</v>
      </c>
      <c r="AS62" s="703">
        <f t="dataTable" ref="AS62:AT66" dt2D="0" dtr="1" r1="B18" ca="1"/>
        <v>4801.5346124455709</v>
      </c>
      <c r="AT62" s="652">
        <v>4801.5346124455709</v>
      </c>
      <c r="AU62" s="661">
        <f>AI$40</f>
        <v>44587.220125613137</v>
      </c>
      <c r="AV62" s="20">
        <f t="dataTable" ref="AV62:AW66" dt2D="0" dtr="1" r1="B18" ca="1"/>
        <v>44587.220125613137</v>
      </c>
      <c r="AW62" s="660">
        <v>44587.220125613137</v>
      </c>
      <c r="AY62" s="891"/>
      <c r="AZ62" s="91" t="str">
        <f t="shared" ref="AZ62:AZ65" si="167">AQ21</f>
        <v>HEV</v>
      </c>
      <c r="BA62" s="32">
        <f t="shared" si="162"/>
        <v>3910.2272578777161</v>
      </c>
      <c r="BB62" s="32">
        <f t="shared" si="163"/>
        <v>3776.9244313032887</v>
      </c>
      <c r="BC62" s="32">
        <f t="shared" si="164"/>
        <v>4701.9365378331386</v>
      </c>
      <c r="BD62" s="657"/>
      <c r="BE62" s="655"/>
      <c r="BF62" s="655"/>
      <c r="BG62" s="655"/>
      <c r="BH62" s="655"/>
      <c r="BI62" s="655"/>
      <c r="BJ62" s="655"/>
      <c r="BK62" s="659"/>
      <c r="BL62" s="710"/>
      <c r="BM62" s="766"/>
      <c r="BN62" s="692"/>
      <c r="BO62" s="32">
        <f>BA62-BB62</f>
        <v>133.3028265744274</v>
      </c>
      <c r="BP62" s="32">
        <f>BC62-BA62</f>
        <v>791.70927995542252</v>
      </c>
      <c r="BR62" s="890" t="str">
        <f>AP92</f>
        <v>GHG Value Cases</v>
      </c>
      <c r="BS62" s="681" t="str">
        <f>AQ92</f>
        <v>CV</v>
      </c>
      <c r="BT62" s="682">
        <f>AU92</f>
        <v>44587.220125613137</v>
      </c>
      <c r="BU62" s="682">
        <f t="shared" ref="BU62:BU66" si="168">AV92</f>
        <v>43237.392819241024</v>
      </c>
      <c r="BV62" s="682">
        <f t="shared" ref="BV62:BV66" si="169">AW92</f>
        <v>49311.615697915542</v>
      </c>
      <c r="BW62" s="685"/>
      <c r="BX62" s="709"/>
      <c r="BY62" s="709"/>
      <c r="BZ62" s="709"/>
      <c r="CA62" s="709"/>
      <c r="CB62" s="817"/>
      <c r="CC62" s="817"/>
      <c r="CD62" s="709"/>
      <c r="CE62" s="817"/>
      <c r="CF62" s="682">
        <f>BT62-BU62</f>
        <v>1349.8273063721135</v>
      </c>
      <c r="CG62" s="682">
        <f>BV62-BT62</f>
        <v>4724.3955723024046</v>
      </c>
    </row>
    <row r="63" spans="1:85">
      <c r="Y63" s="896" t="str">
        <f>H8</f>
        <v>Battery Production</v>
      </c>
      <c r="Z63" s="602" t="str">
        <f>Z58</f>
        <v>CV</v>
      </c>
      <c r="AA63" s="592">
        <f t="shared" ref="AA63:AK63" si="170">I8</f>
        <v>11.818650495106972</v>
      </c>
      <c r="AB63" s="593">
        <f t="shared" si="170"/>
        <v>3.5529185212048744E-2</v>
      </c>
      <c r="AC63" s="593">
        <f t="shared" si="170"/>
        <v>0</v>
      </c>
      <c r="AD63" s="593">
        <f t="shared" si="170"/>
        <v>0.81004533559386183</v>
      </c>
      <c r="AE63" s="593">
        <f t="shared" si="170"/>
        <v>1.9833282269478389</v>
      </c>
      <c r="AF63" s="593">
        <f t="shared" si="170"/>
        <v>3.8104855966174993</v>
      </c>
      <c r="AG63" s="593">
        <f t="shared" si="170"/>
        <v>11.859137997166494</v>
      </c>
      <c r="AH63" s="594">
        <f t="shared" si="170"/>
        <v>6.637951150916388E-2</v>
      </c>
      <c r="AI63" s="592">
        <f t="shared" si="170"/>
        <v>0</v>
      </c>
      <c r="AJ63" s="593">
        <f t="shared" si="170"/>
        <v>0</v>
      </c>
      <c r="AK63" s="594">
        <f t="shared" si="170"/>
        <v>0</v>
      </c>
      <c r="AL63" s="593"/>
      <c r="AM63" s="593"/>
      <c r="AP63" s="894"/>
      <c r="AQ63" s="20" t="str">
        <f t="shared" si="166"/>
        <v>HEV</v>
      </c>
      <c r="AR63" s="661">
        <f>$AK$24</f>
        <v>3910.2272578777161</v>
      </c>
      <c r="AS63" s="658">
        <v>3910.2272578777161</v>
      </c>
      <c r="AT63" s="20">
        <v>3910.2272578777161</v>
      </c>
      <c r="AU63" s="661">
        <f>AI$41</f>
        <v>43587.2467938478</v>
      </c>
      <c r="AV63" s="20">
        <v>43587.2467938478</v>
      </c>
      <c r="AW63" s="660">
        <v>43587.2467938478</v>
      </c>
      <c r="AY63" s="891"/>
      <c r="AZ63" s="91" t="str">
        <f t="shared" si="167"/>
        <v>PHEV20</v>
      </c>
      <c r="BA63" s="32">
        <f t="shared" si="162"/>
        <v>3632.7889258841947</v>
      </c>
      <c r="BB63" s="32">
        <f t="shared" si="163"/>
        <v>3524.4710539982125</v>
      </c>
      <c r="BC63" s="32">
        <f t="shared" si="164"/>
        <v>4276.1081004350353</v>
      </c>
      <c r="BD63" s="657"/>
      <c r="BE63" s="655"/>
      <c r="BF63" s="655"/>
      <c r="BG63" s="655"/>
      <c r="BH63" s="655"/>
      <c r="BI63" s="655"/>
      <c r="BJ63" s="655"/>
      <c r="BK63" s="659"/>
      <c r="BL63" s="710"/>
      <c r="BM63" s="766"/>
      <c r="BN63" s="692"/>
      <c r="BO63" s="32">
        <f>BA63-BB63</f>
        <v>108.31787188598219</v>
      </c>
      <c r="BP63" s="32">
        <f>BC63-BA63</f>
        <v>643.31917455084067</v>
      </c>
      <c r="BR63" s="891"/>
      <c r="BS63" s="91" t="str">
        <f t="shared" ref="BS63:BS66" si="171">AQ93</f>
        <v>HEV</v>
      </c>
      <c r="BT63" s="32">
        <f t="shared" ref="BT63:BT66" si="172">AU93</f>
        <v>43587.2467938478</v>
      </c>
      <c r="BU63" s="32">
        <f t="shared" si="168"/>
        <v>42564.96440104027</v>
      </c>
      <c r="BV63" s="32">
        <f t="shared" si="169"/>
        <v>47165.23516867416</v>
      </c>
      <c r="BW63" s="710"/>
      <c r="BX63" s="707"/>
      <c r="BY63" s="707"/>
      <c r="BZ63" s="707"/>
      <c r="CA63" s="707"/>
      <c r="CB63" s="830"/>
      <c r="CC63" s="830"/>
      <c r="CD63" s="707"/>
      <c r="CE63" s="830"/>
      <c r="CF63" s="32">
        <f>BT63-BU63</f>
        <v>1022.2823928075304</v>
      </c>
      <c r="CG63" s="32">
        <f>BV63-BT63</f>
        <v>3577.9883748263601</v>
      </c>
    </row>
    <row r="64" spans="1:85">
      <c r="Y64" s="896"/>
      <c r="Z64" s="602" t="str">
        <f t="shared" ref="Z64:Z82" si="173">Z59</f>
        <v>HEV</v>
      </c>
      <c r="AA64" s="592">
        <f t="shared" ref="AA64:AK64" si="174">I14</f>
        <v>29.841685170651537</v>
      </c>
      <c r="AB64" s="593">
        <f t="shared" si="174"/>
        <v>0.24385250701366709</v>
      </c>
      <c r="AC64" s="593">
        <f t="shared" si="174"/>
        <v>0</v>
      </c>
      <c r="AD64" s="593">
        <f t="shared" si="174"/>
        <v>2.0123314763674829</v>
      </c>
      <c r="AE64" s="593">
        <f t="shared" si="174"/>
        <v>4.4589206236553611</v>
      </c>
      <c r="AF64" s="593">
        <f t="shared" si="174"/>
        <v>8.6284991307408578</v>
      </c>
      <c r="AG64" s="593">
        <f t="shared" si="174"/>
        <v>77.031819172808028</v>
      </c>
      <c r="AH64" s="594">
        <f t="shared" si="174"/>
        <v>0.16350610791194747</v>
      </c>
      <c r="AI64" s="592">
        <f t="shared" si="174"/>
        <v>0</v>
      </c>
      <c r="AJ64" s="593">
        <f t="shared" si="174"/>
        <v>0</v>
      </c>
      <c r="AK64" s="594">
        <f t="shared" si="174"/>
        <v>0</v>
      </c>
      <c r="AL64" s="593"/>
      <c r="AM64" s="593"/>
      <c r="AP64" s="894"/>
      <c r="AQ64" s="20" t="str">
        <f t="shared" si="166"/>
        <v>PHEV20</v>
      </c>
      <c r="AR64" s="661">
        <f>$AK$25</f>
        <v>3632.7889258841947</v>
      </c>
      <c r="AS64" s="658">
        <v>3721.3997336908124</v>
      </c>
      <c r="AT64" s="20">
        <v>3632.7889258841947</v>
      </c>
      <c r="AU64" s="661">
        <f>AI$42</f>
        <v>44342.078748103791</v>
      </c>
      <c r="AV64" s="20">
        <v>46089.27864434931</v>
      </c>
      <c r="AW64" s="660">
        <v>44342.078748103791</v>
      </c>
      <c r="AY64" s="891"/>
      <c r="AZ64" s="91" t="str">
        <f t="shared" si="167"/>
        <v>PHEV60</v>
      </c>
      <c r="BA64" s="32">
        <f t="shared" si="162"/>
        <v>4145.8901532997616</v>
      </c>
      <c r="BB64" s="32">
        <f t="shared" si="163"/>
        <v>4052.0763932318496</v>
      </c>
      <c r="BC64" s="32">
        <f t="shared" si="164"/>
        <v>4703.0668189558955</v>
      </c>
      <c r="BD64" s="657"/>
      <c r="BE64" s="655"/>
      <c r="BF64" s="655"/>
      <c r="BG64" s="655"/>
      <c r="BH64" s="655"/>
      <c r="BI64" s="655"/>
      <c r="BJ64" s="655"/>
      <c r="BK64" s="659"/>
      <c r="BL64" s="710"/>
      <c r="BM64" s="766"/>
      <c r="BN64" s="692"/>
      <c r="BO64" s="32">
        <f>BA64-BB64</f>
        <v>93.813760067911971</v>
      </c>
      <c r="BP64" s="32">
        <f>BC64-BA64</f>
        <v>557.17666565613399</v>
      </c>
      <c r="BR64" s="891"/>
      <c r="BS64" s="91" t="str">
        <f t="shared" si="171"/>
        <v>PHEV20</v>
      </c>
      <c r="BT64" s="32">
        <f t="shared" si="172"/>
        <v>44342.078748103791</v>
      </c>
      <c r="BU64" s="32">
        <f t="shared" si="168"/>
        <v>43361.418496076447</v>
      </c>
      <c r="BV64" s="32">
        <f t="shared" si="169"/>
        <v>47774.389630199512</v>
      </c>
      <c r="BW64" s="710"/>
      <c r="BX64" s="707"/>
      <c r="BY64" s="707"/>
      <c r="BZ64" s="707"/>
      <c r="CA64" s="707"/>
      <c r="CB64" s="830"/>
      <c r="CC64" s="830"/>
      <c r="CD64" s="707"/>
      <c r="CE64" s="830"/>
      <c r="CF64" s="32">
        <f>BT64-BU64</f>
        <v>980.66025202734454</v>
      </c>
      <c r="CG64" s="32">
        <f>BV64-BT64</f>
        <v>3432.3108820957204</v>
      </c>
    </row>
    <row r="65" spans="25:85">
      <c r="Y65" s="896"/>
      <c r="Z65" s="602" t="str">
        <f t="shared" si="173"/>
        <v>PHEV20</v>
      </c>
      <c r="AA65" s="592">
        <f t="shared" ref="AA65:AK65" si="175">I20</f>
        <v>44.01433256072476</v>
      </c>
      <c r="AB65" s="593">
        <f t="shared" si="175"/>
        <v>0.1329256395813459</v>
      </c>
      <c r="AC65" s="593">
        <f t="shared" si="175"/>
        <v>0</v>
      </c>
      <c r="AD65" s="593">
        <f t="shared" si="175"/>
        <v>3.1011682362824153</v>
      </c>
      <c r="AE65" s="593">
        <f t="shared" si="175"/>
        <v>7.0690208159365415</v>
      </c>
      <c r="AF65" s="593">
        <f t="shared" si="175"/>
        <v>14.941361759951404</v>
      </c>
      <c r="AG65" s="593">
        <f t="shared" si="175"/>
        <v>71.118932010652401</v>
      </c>
      <c r="AH65" s="594">
        <f t="shared" si="175"/>
        <v>0.23647462051913681</v>
      </c>
      <c r="AI65" s="592">
        <f t="shared" si="175"/>
        <v>0</v>
      </c>
      <c r="AJ65" s="593">
        <f t="shared" si="175"/>
        <v>0</v>
      </c>
      <c r="AK65" s="594">
        <f t="shared" si="175"/>
        <v>0</v>
      </c>
      <c r="AL65" s="593"/>
      <c r="AM65" s="593"/>
      <c r="AP65" s="894"/>
      <c r="AQ65" s="20" t="str">
        <f t="shared" si="166"/>
        <v>PHEV60</v>
      </c>
      <c r="AR65" s="661">
        <f>$AK$26</f>
        <v>4145.8901532997616</v>
      </c>
      <c r="AS65" s="658">
        <v>4449.8044436715054</v>
      </c>
      <c r="AT65" s="20">
        <v>4145.8901532997616</v>
      </c>
      <c r="AU65" s="661">
        <f>AI$43</f>
        <v>52780.398428948298</v>
      </c>
      <c r="AV65" s="20">
        <v>58585.731268367657</v>
      </c>
      <c r="AW65" s="660">
        <v>52780.398428948298</v>
      </c>
      <c r="AY65" s="892"/>
      <c r="AZ65" s="683" t="str">
        <f t="shared" si="167"/>
        <v>BEV240</v>
      </c>
      <c r="BA65" s="28">
        <f t="shared" si="162"/>
        <v>4667.4752102121438</v>
      </c>
      <c r="BB65" s="28">
        <f t="shared" si="163"/>
        <v>4667.4752102121438</v>
      </c>
      <c r="BC65" s="28">
        <f t="shared" si="164"/>
        <v>4667.4752102121438</v>
      </c>
      <c r="BD65" s="687"/>
      <c r="BE65" s="656"/>
      <c r="BF65" s="656"/>
      <c r="BG65" s="656"/>
      <c r="BH65" s="656"/>
      <c r="BI65" s="656"/>
      <c r="BJ65" s="656"/>
      <c r="BK65" s="688"/>
      <c r="BL65" s="687"/>
      <c r="BM65" s="767"/>
      <c r="BN65" s="688"/>
      <c r="BO65" s="28">
        <f>BA65-BB65</f>
        <v>0</v>
      </c>
      <c r="BP65" s="28">
        <f>BC65-BA65</f>
        <v>0</v>
      </c>
      <c r="BR65" s="891"/>
      <c r="BS65" s="91" t="str">
        <f t="shared" si="171"/>
        <v>PHEV60</v>
      </c>
      <c r="BT65" s="32">
        <f t="shared" si="172"/>
        <v>52780.398428948298</v>
      </c>
      <c r="BU65" s="32">
        <f t="shared" si="168"/>
        <v>51624.445515274667</v>
      </c>
      <c r="BV65" s="32">
        <f t="shared" si="169"/>
        <v>56826.233626806003</v>
      </c>
      <c r="BW65" s="710"/>
      <c r="BX65" s="707"/>
      <c r="BY65" s="707"/>
      <c r="BZ65" s="707"/>
      <c r="CA65" s="707"/>
      <c r="CB65" s="830"/>
      <c r="CC65" s="830"/>
      <c r="CD65" s="707"/>
      <c r="CE65" s="830"/>
      <c r="CF65" s="32">
        <f>BT65-BU65</f>
        <v>1155.952913673631</v>
      </c>
      <c r="CG65" s="32">
        <f>BV65-BT65</f>
        <v>4045.8351978577048</v>
      </c>
    </row>
    <row r="66" spans="25:85" ht="12.75" customHeight="1">
      <c r="Y66" s="896"/>
      <c r="Z66" s="602" t="str">
        <f t="shared" si="173"/>
        <v>PHEV60</v>
      </c>
      <c r="AA66" s="592">
        <f t="shared" ref="AA66:AK66" si="176">I26</f>
        <v>150.95883874088184</v>
      </c>
      <c r="AB66" s="593">
        <f t="shared" si="176"/>
        <v>0.45590377094561929</v>
      </c>
      <c r="AC66" s="593">
        <f t="shared" si="176"/>
        <v>0</v>
      </c>
      <c r="AD66" s="593">
        <f t="shared" si="176"/>
        <v>10.636279785531599</v>
      </c>
      <c r="AE66" s="593">
        <f t="shared" si="176"/>
        <v>24.245083619900957</v>
      </c>
      <c r="AF66" s="593">
        <f t="shared" si="176"/>
        <v>51.245366889928867</v>
      </c>
      <c r="AG66" s="593">
        <f t="shared" si="176"/>
        <v>243.92125846751753</v>
      </c>
      <c r="AH66" s="594">
        <f t="shared" si="176"/>
        <v>0.81105249195835527</v>
      </c>
      <c r="AI66" s="592">
        <f t="shared" si="176"/>
        <v>0</v>
      </c>
      <c r="AJ66" s="593">
        <f t="shared" si="176"/>
        <v>0</v>
      </c>
      <c r="AK66" s="594">
        <f t="shared" si="176"/>
        <v>0</v>
      </c>
      <c r="AL66" s="593"/>
      <c r="AM66" s="593"/>
      <c r="AP66" s="895"/>
      <c r="AQ66" s="653" t="str">
        <f t="shared" si="166"/>
        <v>BEV240</v>
      </c>
      <c r="AR66" s="662">
        <f>$AK$27</f>
        <v>4667.4752102121438</v>
      </c>
      <c r="AS66" s="663">
        <v>5898.1858128104841</v>
      </c>
      <c r="AT66" s="653">
        <v>4667.4752102121438</v>
      </c>
      <c r="AU66" s="661">
        <f>AI$44</f>
        <v>67031.631929099676</v>
      </c>
      <c r="AV66" s="20">
        <v>88398.370684618218</v>
      </c>
      <c r="AW66" s="660">
        <v>67031.631929099676</v>
      </c>
      <c r="AY66" s="655" t="s">
        <v>241</v>
      </c>
      <c r="AZ66" s="91"/>
      <c r="BA66" s="32"/>
      <c r="BB66" s="32"/>
      <c r="BC66" s="32"/>
      <c r="BD66" s="657"/>
      <c r="BE66" s="655"/>
      <c r="BF66" s="655"/>
      <c r="BG66" s="655"/>
      <c r="BH66" s="655"/>
      <c r="BI66" s="655"/>
      <c r="BJ66" s="655"/>
      <c r="BK66" s="659"/>
      <c r="BL66" s="710"/>
      <c r="BM66" s="766"/>
      <c r="BN66" s="692"/>
      <c r="BO66" s="32"/>
      <c r="BP66" s="32"/>
      <c r="BR66" s="892"/>
      <c r="BS66" s="683" t="str">
        <f t="shared" si="171"/>
        <v>BEV240</v>
      </c>
      <c r="BT66" s="28">
        <f t="shared" si="172"/>
        <v>67031.631929099676</v>
      </c>
      <c r="BU66" s="28">
        <f t="shared" si="168"/>
        <v>65815.764118882013</v>
      </c>
      <c r="BV66" s="28">
        <f t="shared" si="169"/>
        <v>71287.169264861514</v>
      </c>
      <c r="BW66" s="687"/>
      <c r="BX66" s="708"/>
      <c r="BY66" s="708"/>
      <c r="BZ66" s="708"/>
      <c r="CA66" s="708"/>
      <c r="CB66" s="831"/>
      <c r="CC66" s="831"/>
      <c r="CD66" s="708"/>
      <c r="CE66" s="831"/>
      <c r="CF66" s="28">
        <f>BT66-BU66</f>
        <v>1215.8678102176636</v>
      </c>
      <c r="CG66" s="28">
        <f>BV66-BT66</f>
        <v>4255.5373357618373</v>
      </c>
    </row>
    <row r="67" spans="25:85">
      <c r="Y67" s="897"/>
      <c r="Z67" s="603" t="str">
        <f t="shared" si="173"/>
        <v>BEV240</v>
      </c>
      <c r="AA67" s="595">
        <f t="shared" ref="AA67:AK67" si="177">I32</f>
        <v>531.55467766600873</v>
      </c>
      <c r="AB67" s="596">
        <f t="shared" si="177"/>
        <v>1.8908901286179916</v>
      </c>
      <c r="AC67" s="596">
        <f t="shared" si="177"/>
        <v>0</v>
      </c>
      <c r="AD67" s="596">
        <f t="shared" si="177"/>
        <v>44.114652550394844</v>
      </c>
      <c r="AE67" s="596">
        <f t="shared" si="177"/>
        <v>100.55803923117122</v>
      </c>
      <c r="AF67" s="596">
        <f t="shared" si="177"/>
        <v>212.54344571133632</v>
      </c>
      <c r="AG67" s="596">
        <f t="shared" si="177"/>
        <v>1011.6790629734064</v>
      </c>
      <c r="AH67" s="597">
        <f t="shared" si="177"/>
        <v>3.3638922258838004</v>
      </c>
      <c r="AI67" s="595">
        <f t="shared" si="177"/>
        <v>0</v>
      </c>
      <c r="AJ67" s="596">
        <f t="shared" si="177"/>
        <v>0</v>
      </c>
      <c r="AK67" s="597">
        <f t="shared" si="177"/>
        <v>0</v>
      </c>
      <c r="AL67" s="593"/>
      <c r="AM67" s="593"/>
      <c r="AR67" s="661"/>
      <c r="AS67" s="658" t="str">
        <f>Vehicle!A18</f>
        <v>5% Best</v>
      </c>
      <c r="AT67" s="171" t="str">
        <f>Vehicle!A16</f>
        <v>95% Worst</v>
      </c>
      <c r="AU67" s="662"/>
      <c r="AV67" s="653" t="str">
        <f>AS67</f>
        <v>5% Best</v>
      </c>
      <c r="AW67" s="664" t="str">
        <f>AT67</f>
        <v>95% Worst</v>
      </c>
      <c r="AY67" s="890" t="s">
        <v>738</v>
      </c>
      <c r="AZ67" s="681" t="str">
        <f>AQ26</f>
        <v>CV</v>
      </c>
      <c r="BA67" s="682">
        <f t="shared" ref="BA67:BA71" si="178">AR26</f>
        <v>4801.5346124455709</v>
      </c>
      <c r="BB67" s="682">
        <f t="shared" ref="BB67:BB71" si="179">AS26</f>
        <v>4731.3169783034009</v>
      </c>
      <c r="BC67" s="682">
        <f t="shared" ref="BC67:BC71" si="180">AT26</f>
        <v>4919.7581646215976</v>
      </c>
      <c r="BD67" s="685"/>
      <c r="BE67" s="666"/>
      <c r="BF67" s="666"/>
      <c r="BG67" s="666"/>
      <c r="BH67" s="666"/>
      <c r="BI67" s="666"/>
      <c r="BJ67" s="666"/>
      <c r="BK67" s="686"/>
      <c r="BL67" s="685"/>
      <c r="BM67" s="770"/>
      <c r="BN67" s="686"/>
      <c r="BO67" s="682">
        <f>BA67-BB67</f>
        <v>70.217634142170027</v>
      </c>
      <c r="BP67" s="682">
        <f>BC67-BA67</f>
        <v>118.22355217602671</v>
      </c>
      <c r="BR67" s="707" t="s">
        <v>241</v>
      </c>
      <c r="BS67" s="91"/>
      <c r="BT67" s="32"/>
      <c r="BU67" s="32"/>
      <c r="BV67" s="32"/>
      <c r="BW67" s="710"/>
      <c r="BX67" s="707"/>
      <c r="BY67" s="707"/>
      <c r="BZ67" s="707"/>
      <c r="CA67" s="707"/>
      <c r="CB67" s="830"/>
      <c r="CC67" s="830"/>
      <c r="CD67" s="707"/>
      <c r="CE67" s="830"/>
      <c r="CF67" s="32"/>
      <c r="CG67" s="32"/>
    </row>
    <row r="68" spans="25:85" ht="12.75" customHeight="1">
      <c r="Y68" s="896" t="str">
        <f>H9</f>
        <v>Gasoline Production</v>
      </c>
      <c r="Z68" s="602" t="str">
        <f t="shared" si="173"/>
        <v>CV</v>
      </c>
      <c r="AA68" s="592">
        <f t="shared" ref="AA68:AK68" si="181">I9</f>
        <v>289.52229789655371</v>
      </c>
      <c r="AB68" s="593">
        <f t="shared" si="181"/>
        <v>2.3423783025693719</v>
      </c>
      <c r="AC68" s="593">
        <f t="shared" si="181"/>
        <v>0</v>
      </c>
      <c r="AD68" s="593">
        <f t="shared" si="181"/>
        <v>51.060379591911641</v>
      </c>
      <c r="AE68" s="593">
        <f t="shared" si="181"/>
        <v>15.932568602890987</v>
      </c>
      <c r="AF68" s="593">
        <f t="shared" si="181"/>
        <v>56.101418859376331</v>
      </c>
      <c r="AG68" s="593">
        <f t="shared" si="181"/>
        <v>136.67809946474708</v>
      </c>
      <c r="AH68" s="594">
        <f t="shared" si="181"/>
        <v>45.330113911093818</v>
      </c>
      <c r="AI68" s="592">
        <f t="shared" si="181"/>
        <v>0</v>
      </c>
      <c r="AJ68" s="593">
        <f t="shared" si="181"/>
        <v>0</v>
      </c>
      <c r="AK68" s="594">
        <f t="shared" si="181"/>
        <v>0</v>
      </c>
      <c r="AL68" s="593"/>
      <c r="AM68" s="593"/>
      <c r="AP68" s="893" t="s">
        <v>596</v>
      </c>
      <c r="AQ68" s="652" t="str">
        <f t="shared" ref="AQ68:AQ72" si="182">AQ44</f>
        <v>CV</v>
      </c>
      <c r="AR68" s="705">
        <f>$AK$23</f>
        <v>4801.5346124455709</v>
      </c>
      <c r="AS68" s="703">
        <f t="dataTable" ref="AS68:AT72" dt2D="0" dtr="1" r1="B19" ca="1"/>
        <v>4303.7869450633434</v>
      </c>
      <c r="AT68" s="652">
        <v>6697.6196125010074</v>
      </c>
      <c r="AU68" s="661">
        <f>AI$40</f>
        <v>44587.220125613137</v>
      </c>
      <c r="AV68" s="20">
        <f t="dataTable" ref="AV68:AW72" dt2D="0" dtr="1" r1="B19" ca="1"/>
        <v>44089.472458230914</v>
      </c>
      <c r="AW68" s="660">
        <v>46483.305125668579</v>
      </c>
      <c r="AY68" s="891"/>
      <c r="AZ68" s="91" t="str">
        <f t="shared" ref="AZ68:AZ71" si="183">AQ27</f>
        <v>HEV</v>
      </c>
      <c r="BA68" s="32">
        <f t="shared" si="178"/>
        <v>3910.2272578777161</v>
      </c>
      <c r="BB68" s="32">
        <f t="shared" si="179"/>
        <v>3860.0718049190232</v>
      </c>
      <c r="BC68" s="32">
        <f t="shared" si="180"/>
        <v>3994.672652289164</v>
      </c>
      <c r="BD68" s="657"/>
      <c r="BE68" s="655"/>
      <c r="BF68" s="655"/>
      <c r="BG68" s="655"/>
      <c r="BH68" s="655"/>
      <c r="BI68" s="655"/>
      <c r="BJ68" s="655"/>
      <c r="BK68" s="659"/>
      <c r="BL68" s="710"/>
      <c r="BM68" s="766"/>
      <c r="BN68" s="692"/>
      <c r="BO68" s="32">
        <f>BA68-BB68</f>
        <v>50.155452958692877</v>
      </c>
      <c r="BP68" s="32">
        <f>BC68-BA68</f>
        <v>84.445394411447978</v>
      </c>
      <c r="BR68" s="890" t="str">
        <f>AP98</f>
        <v>Oil Disrup-
tion Cases</v>
      </c>
      <c r="BS68" s="681" t="str">
        <f>AQ98</f>
        <v>CV</v>
      </c>
      <c r="BT68" s="682">
        <f>AU98</f>
        <v>44587.220125613137</v>
      </c>
      <c r="BU68" s="682">
        <f t="shared" ref="BU68:BU72" si="184">AV98</f>
        <v>44251.641002670258</v>
      </c>
      <c r="BV68" s="682">
        <f t="shared" ref="BV68:BV72" si="185">AW98</f>
        <v>45299.205080825021</v>
      </c>
      <c r="BW68" s="685"/>
      <c r="BX68" s="709"/>
      <c r="BY68" s="709"/>
      <c r="BZ68" s="709"/>
      <c r="CA68" s="709"/>
      <c r="CB68" s="817"/>
      <c r="CC68" s="817"/>
      <c r="CD68" s="709"/>
      <c r="CE68" s="817"/>
      <c r="CF68" s="682">
        <f>BT68-BU68</f>
        <v>335.57912294287962</v>
      </c>
      <c r="CG68" s="682">
        <f>BV68-BT68</f>
        <v>711.98495521188306</v>
      </c>
    </row>
    <row r="69" spans="25:85">
      <c r="Y69" s="896"/>
      <c r="Z69" s="602" t="str">
        <f t="shared" si="173"/>
        <v>HEV</v>
      </c>
      <c r="AA69" s="592">
        <f t="shared" ref="AA69:AK69" si="186">I15</f>
        <v>206.80164135468124</v>
      </c>
      <c r="AB69" s="593">
        <f t="shared" si="186"/>
        <v>1.6731273589781226</v>
      </c>
      <c r="AC69" s="593">
        <f t="shared" si="186"/>
        <v>0</v>
      </c>
      <c r="AD69" s="593">
        <f t="shared" si="186"/>
        <v>36.471699708508311</v>
      </c>
      <c r="AE69" s="593">
        <f t="shared" si="186"/>
        <v>11.380406144922134</v>
      </c>
      <c r="AF69" s="593">
        <f t="shared" si="186"/>
        <v>40.072442042411666</v>
      </c>
      <c r="AG69" s="593">
        <f t="shared" si="186"/>
        <v>97.627213903390768</v>
      </c>
      <c r="AH69" s="594">
        <f t="shared" si="186"/>
        <v>32.378652793638437</v>
      </c>
      <c r="AI69" s="592">
        <f t="shared" si="186"/>
        <v>0</v>
      </c>
      <c r="AJ69" s="593">
        <f t="shared" si="186"/>
        <v>0</v>
      </c>
      <c r="AK69" s="594">
        <f t="shared" si="186"/>
        <v>0</v>
      </c>
      <c r="AL69" s="593"/>
      <c r="AM69" s="593"/>
      <c r="AP69" s="894"/>
      <c r="AQ69" s="20" t="str">
        <f t="shared" si="182"/>
        <v>HEV</v>
      </c>
      <c r="AR69" s="661">
        <f>$AK$24</f>
        <v>3910.2272578777161</v>
      </c>
      <c r="AS69" s="658">
        <v>3441.5908813958449</v>
      </c>
      <c r="AT69" s="20">
        <v>5681.9958077039519</v>
      </c>
      <c r="AU69" s="661">
        <f>AI$41</f>
        <v>43587.2467938478</v>
      </c>
      <c r="AV69" s="20">
        <v>43118.610417365933</v>
      </c>
      <c r="AW69" s="660">
        <v>45359.015343674037</v>
      </c>
      <c r="AY69" s="891"/>
      <c r="AZ69" s="91" t="str">
        <f t="shared" si="183"/>
        <v>PHEV20</v>
      </c>
      <c r="BA69" s="32">
        <f t="shared" si="178"/>
        <v>3632.7889258841947</v>
      </c>
      <c r="BB69" s="32">
        <f t="shared" si="179"/>
        <v>3592.0341116947907</v>
      </c>
      <c r="BC69" s="32">
        <f t="shared" si="180"/>
        <v>3701.4067162812603</v>
      </c>
      <c r="BD69" s="657"/>
      <c r="BE69" s="655"/>
      <c r="BF69" s="655"/>
      <c r="BG69" s="655"/>
      <c r="BH69" s="655"/>
      <c r="BI69" s="655"/>
      <c r="BJ69" s="655"/>
      <c r="BK69" s="659"/>
      <c r="BL69" s="710"/>
      <c r="BM69" s="766"/>
      <c r="BN69" s="692"/>
      <c r="BO69" s="32">
        <f>BA69-BB69</f>
        <v>40.754814189403987</v>
      </c>
      <c r="BP69" s="32">
        <f>BC69-BA69</f>
        <v>68.617790397065619</v>
      </c>
      <c r="BR69" s="891"/>
      <c r="BS69" s="91" t="str">
        <f t="shared" ref="BS69:BS72" si="187">AQ99</f>
        <v>HEV</v>
      </c>
      <c r="BT69" s="32">
        <f t="shared" ref="BT69:BT72" si="188">AU99</f>
        <v>43587.2467938478</v>
      </c>
      <c r="BU69" s="32">
        <f t="shared" si="184"/>
        <v>43347.547420317176</v>
      </c>
      <c r="BV69" s="32">
        <f t="shared" si="185"/>
        <v>44095.807476142007</v>
      </c>
      <c r="BW69" s="710"/>
      <c r="BX69" s="707"/>
      <c r="BY69" s="707"/>
      <c r="BZ69" s="707"/>
      <c r="CA69" s="707"/>
      <c r="CB69" s="830"/>
      <c r="CC69" s="830"/>
      <c r="CD69" s="707"/>
      <c r="CE69" s="830"/>
      <c r="CF69" s="32">
        <f>BT69-BU69</f>
        <v>239.69937353062414</v>
      </c>
      <c r="CG69" s="32">
        <f>BV69-BT69</f>
        <v>508.56068229420634</v>
      </c>
    </row>
    <row r="70" spans="25:85">
      <c r="Y70" s="896"/>
      <c r="Z70" s="602" t="str">
        <f t="shared" si="173"/>
        <v>PHEV20</v>
      </c>
      <c r="AA70" s="592">
        <f t="shared" ref="AA70:AK70" si="189">I21</f>
        <v>168.04080055692094</v>
      </c>
      <c r="AB70" s="593">
        <f t="shared" si="189"/>
        <v>1.3595330239868344</v>
      </c>
      <c r="AC70" s="593">
        <f t="shared" si="189"/>
        <v>0</v>
      </c>
      <c r="AD70" s="593">
        <f t="shared" si="189"/>
        <v>29.63580741691548</v>
      </c>
      <c r="AE70" s="593">
        <f t="shared" si="189"/>
        <v>9.2473761171737845</v>
      </c>
      <c r="AF70" s="593">
        <f t="shared" si="189"/>
        <v>32.561662455708763</v>
      </c>
      <c r="AG70" s="593">
        <f t="shared" si="189"/>
        <v>79.328940877848552</v>
      </c>
      <c r="AH70" s="594">
        <f t="shared" si="189"/>
        <v>26.309920466568993</v>
      </c>
      <c r="AI70" s="592">
        <f t="shared" si="189"/>
        <v>0</v>
      </c>
      <c r="AJ70" s="593">
        <f t="shared" si="189"/>
        <v>0</v>
      </c>
      <c r="AK70" s="594">
        <f t="shared" si="189"/>
        <v>0</v>
      </c>
      <c r="AL70" s="593"/>
      <c r="AM70" s="593"/>
      <c r="AP70" s="894"/>
      <c r="AQ70" s="20" t="str">
        <f t="shared" si="182"/>
        <v>PHEV20</v>
      </c>
      <c r="AR70" s="661">
        <f>$AK$25</f>
        <v>3632.7889258841947</v>
      </c>
      <c r="AS70" s="658">
        <v>3278.0495496322947</v>
      </c>
      <c r="AT70" s="20">
        <v>4979.6432883898633</v>
      </c>
      <c r="AU70" s="661">
        <f>AI$42</f>
        <v>44342.078748103791</v>
      </c>
      <c r="AV70" s="20">
        <v>43987.339371851893</v>
      </c>
      <c r="AW70" s="660">
        <v>45688.933110609461</v>
      </c>
      <c r="AY70" s="891"/>
      <c r="AZ70" s="91" t="str">
        <f t="shared" si="183"/>
        <v>PHEV60</v>
      </c>
      <c r="BA70" s="32">
        <f t="shared" si="178"/>
        <v>4145.8901532997616</v>
      </c>
      <c r="BB70" s="32">
        <f t="shared" si="179"/>
        <v>4110.5925399566786</v>
      </c>
      <c r="BC70" s="32">
        <f t="shared" si="180"/>
        <v>4205.3198006203502</v>
      </c>
      <c r="BD70" s="657"/>
      <c r="BE70" s="655"/>
      <c r="BF70" s="655"/>
      <c r="BG70" s="655"/>
      <c r="BH70" s="655"/>
      <c r="BI70" s="655"/>
      <c r="BJ70" s="655"/>
      <c r="BK70" s="659"/>
      <c r="BL70" s="710"/>
      <c r="BM70" s="766"/>
      <c r="BN70" s="692"/>
      <c r="BO70" s="32">
        <f>BA70-BB70</f>
        <v>35.297613343082958</v>
      </c>
      <c r="BP70" s="32">
        <f>BC70-BA70</f>
        <v>59.429647320588629</v>
      </c>
      <c r="BR70" s="891"/>
      <c r="BS70" s="91" t="str">
        <f t="shared" si="187"/>
        <v>PHEV20</v>
      </c>
      <c r="BT70" s="32">
        <f t="shared" si="188"/>
        <v>44342.078748103791</v>
      </c>
      <c r="BU70" s="32">
        <f t="shared" si="184"/>
        <v>44147.306238769612</v>
      </c>
      <c r="BV70" s="32">
        <f t="shared" si="185"/>
        <v>44755.319879192895</v>
      </c>
      <c r="BW70" s="710"/>
      <c r="BX70" s="707"/>
      <c r="BY70" s="707"/>
      <c r="BZ70" s="707"/>
      <c r="CA70" s="707"/>
      <c r="CB70" s="830"/>
      <c r="CC70" s="830"/>
      <c r="CD70" s="707"/>
      <c r="CE70" s="830"/>
      <c r="CF70" s="32">
        <f>BT70-BU70</f>
        <v>194.77250933417963</v>
      </c>
      <c r="CG70" s="32">
        <f>BV70-BT70</f>
        <v>413.24113108910387</v>
      </c>
    </row>
    <row r="71" spans="25:85">
      <c r="Y71" s="896"/>
      <c r="Z71" s="602" t="str">
        <f t="shared" si="173"/>
        <v>PHEV60</v>
      </c>
      <c r="AA71" s="592">
        <f t="shared" ref="AA71:AK71" si="190">I27</f>
        <v>145.53959628805225</v>
      </c>
      <c r="AB71" s="593">
        <f t="shared" si="190"/>
        <v>1.1774871745168525</v>
      </c>
      <c r="AC71" s="593">
        <f t="shared" si="190"/>
        <v>0</v>
      </c>
      <c r="AD71" s="593">
        <f t="shared" si="190"/>
        <v>25.667477379503001</v>
      </c>
      <c r="AE71" s="593">
        <f t="shared" si="190"/>
        <v>8.0091226794730854</v>
      </c>
      <c r="AF71" s="593">
        <f t="shared" si="190"/>
        <v>28.201551007646042</v>
      </c>
      <c r="AG71" s="593">
        <f t="shared" si="190"/>
        <v>68.706540263178539</v>
      </c>
      <c r="AH71" s="594">
        <f t="shared" si="190"/>
        <v>22.786937400825824</v>
      </c>
      <c r="AI71" s="592">
        <f t="shared" si="190"/>
        <v>0</v>
      </c>
      <c r="AJ71" s="593">
        <f t="shared" si="190"/>
        <v>0</v>
      </c>
      <c r="AK71" s="594">
        <f t="shared" si="190"/>
        <v>0</v>
      </c>
      <c r="AL71" s="593"/>
      <c r="AM71" s="593"/>
      <c r="AP71" s="894"/>
      <c r="AQ71" s="20" t="str">
        <f t="shared" si="182"/>
        <v>PHEV60</v>
      </c>
      <c r="AR71" s="661">
        <f>$AK$26</f>
        <v>4145.8901532997616</v>
      </c>
      <c r="AS71" s="658">
        <v>3863.8057497200984</v>
      </c>
      <c r="AT71" s="20">
        <v>5221.6914713399337</v>
      </c>
      <c r="AU71" s="661">
        <f>AI$43</f>
        <v>52780.398428948298</v>
      </c>
      <c r="AV71" s="20">
        <v>52498.314025368636</v>
      </c>
      <c r="AW71" s="660">
        <v>53856.199746988474</v>
      </c>
      <c r="AY71" s="892"/>
      <c r="AZ71" s="683" t="str">
        <f t="shared" si="183"/>
        <v>BEV240</v>
      </c>
      <c r="BA71" s="28">
        <f t="shared" si="178"/>
        <v>4667.4752102121438</v>
      </c>
      <c r="BB71" s="28">
        <f t="shared" si="179"/>
        <v>4667.4752102121438</v>
      </c>
      <c r="BC71" s="28">
        <f t="shared" si="180"/>
        <v>4667.4752102121438</v>
      </c>
      <c r="BD71" s="687"/>
      <c r="BE71" s="656"/>
      <c r="BF71" s="656"/>
      <c r="BG71" s="656"/>
      <c r="BH71" s="656"/>
      <c r="BI71" s="656"/>
      <c r="BJ71" s="656"/>
      <c r="BK71" s="688"/>
      <c r="BL71" s="687"/>
      <c r="BM71" s="767"/>
      <c r="BN71" s="688"/>
      <c r="BO71" s="28">
        <f>BA71-BB71</f>
        <v>0</v>
      </c>
      <c r="BP71" s="28">
        <f>BC71-BA71</f>
        <v>0</v>
      </c>
      <c r="BR71" s="891"/>
      <c r="BS71" s="91" t="str">
        <f t="shared" si="187"/>
        <v>PHEV60</v>
      </c>
      <c r="BT71" s="32">
        <f t="shared" si="188"/>
        <v>52780.398428948298</v>
      </c>
      <c r="BU71" s="32">
        <f t="shared" si="184"/>
        <v>52611.70658576164</v>
      </c>
      <c r="BV71" s="32">
        <f t="shared" si="185"/>
        <v>53138.305241990129</v>
      </c>
      <c r="BW71" s="710"/>
      <c r="BX71" s="707"/>
      <c r="BY71" s="707"/>
      <c r="BZ71" s="707"/>
      <c r="CA71" s="707"/>
      <c r="CB71" s="830"/>
      <c r="CC71" s="830"/>
      <c r="CD71" s="707"/>
      <c r="CE71" s="830"/>
      <c r="CF71" s="32">
        <f>BT71-BU71</f>
        <v>168.69184318665793</v>
      </c>
      <c r="CG71" s="32">
        <f>BV71-BT71</f>
        <v>357.9068130418309</v>
      </c>
    </row>
    <row r="72" spans="25:85">
      <c r="Y72" s="897"/>
      <c r="Z72" s="603" t="str">
        <f t="shared" si="173"/>
        <v>BEV240</v>
      </c>
      <c r="AA72" s="595">
        <f t="shared" ref="AA72:AK72" si="191">I33</f>
        <v>0</v>
      </c>
      <c r="AB72" s="596">
        <f t="shared" si="191"/>
        <v>0</v>
      </c>
      <c r="AC72" s="596">
        <f t="shared" si="191"/>
        <v>0</v>
      </c>
      <c r="AD72" s="596">
        <f t="shared" si="191"/>
        <v>0</v>
      </c>
      <c r="AE72" s="596">
        <f t="shared" si="191"/>
        <v>0</v>
      </c>
      <c r="AF72" s="596">
        <f t="shared" si="191"/>
        <v>0</v>
      </c>
      <c r="AG72" s="596">
        <f t="shared" si="191"/>
        <v>0</v>
      </c>
      <c r="AH72" s="597">
        <f t="shared" si="191"/>
        <v>0</v>
      </c>
      <c r="AI72" s="595">
        <f t="shared" si="191"/>
        <v>0</v>
      </c>
      <c r="AJ72" s="596">
        <f t="shared" si="191"/>
        <v>0</v>
      </c>
      <c r="AK72" s="597">
        <f t="shared" si="191"/>
        <v>0</v>
      </c>
      <c r="AL72" s="593"/>
      <c r="AM72" s="593"/>
      <c r="AP72" s="895"/>
      <c r="AQ72" s="653" t="str">
        <f t="shared" si="182"/>
        <v>BEV240</v>
      </c>
      <c r="AR72" s="662">
        <f>$AK$27</f>
        <v>4667.4752102121438</v>
      </c>
      <c r="AS72" s="663">
        <v>4600.0258722296448</v>
      </c>
      <c r="AT72" s="653">
        <v>4942.5400357672734</v>
      </c>
      <c r="AU72" s="661">
        <f>AI$44</f>
        <v>67031.631929099676</v>
      </c>
      <c r="AV72" s="20">
        <v>66964.182591117176</v>
      </c>
      <c r="AW72" s="660">
        <v>67306.696754654811</v>
      </c>
      <c r="AY72" s="655" t="s">
        <v>241</v>
      </c>
      <c r="AZ72" s="91"/>
      <c r="BA72" s="32"/>
      <c r="BB72" s="32"/>
      <c r="BC72" s="32"/>
      <c r="BD72" s="657"/>
      <c r="BE72" s="655"/>
      <c r="BF72" s="655"/>
      <c r="BG72" s="655"/>
      <c r="BH72" s="655"/>
      <c r="BI72" s="655"/>
      <c r="BJ72" s="655"/>
      <c r="BK72" s="659"/>
      <c r="BL72" s="710"/>
      <c r="BM72" s="766"/>
      <c r="BN72" s="692"/>
      <c r="BO72" s="32"/>
      <c r="BP72" s="32"/>
      <c r="BR72" s="892"/>
      <c r="BS72" s="683" t="str">
        <f t="shared" si="187"/>
        <v>BEV240</v>
      </c>
      <c r="BT72" s="28">
        <f t="shared" si="188"/>
        <v>67031.631929099676</v>
      </c>
      <c r="BU72" s="28">
        <f t="shared" si="184"/>
        <v>67031.631929099676</v>
      </c>
      <c r="BV72" s="28">
        <f t="shared" si="185"/>
        <v>67031.631929099676</v>
      </c>
      <c r="BW72" s="687"/>
      <c r="BX72" s="708"/>
      <c r="BY72" s="708"/>
      <c r="BZ72" s="708"/>
      <c r="CA72" s="708"/>
      <c r="CB72" s="831"/>
      <c r="CC72" s="831"/>
      <c r="CD72" s="708"/>
      <c r="CE72" s="831"/>
      <c r="CF72" s="28">
        <f>BT72-BU72</f>
        <v>0</v>
      </c>
      <c r="CG72" s="28">
        <f>BV72-BT72</f>
        <v>0</v>
      </c>
    </row>
    <row r="73" spans="25:85">
      <c r="Y73" s="896" t="str">
        <f>H10</f>
        <v>Electricity Production</v>
      </c>
      <c r="Z73" s="602" t="str">
        <f t="shared" si="173"/>
        <v>CV</v>
      </c>
      <c r="AA73" s="592">
        <f t="shared" ref="AA73:AK73" si="192">I10</f>
        <v>0</v>
      </c>
      <c r="AB73" s="593">
        <f t="shared" si="192"/>
        <v>0</v>
      </c>
      <c r="AC73" s="593">
        <f t="shared" si="192"/>
        <v>0</v>
      </c>
      <c r="AD73" s="593">
        <f t="shared" si="192"/>
        <v>0</v>
      </c>
      <c r="AE73" s="593">
        <f t="shared" si="192"/>
        <v>0</v>
      </c>
      <c r="AF73" s="593">
        <f t="shared" si="192"/>
        <v>0</v>
      </c>
      <c r="AG73" s="593">
        <f t="shared" si="192"/>
        <v>0</v>
      </c>
      <c r="AH73" s="594">
        <f t="shared" si="192"/>
        <v>0</v>
      </c>
      <c r="AI73" s="592">
        <f t="shared" si="192"/>
        <v>0</v>
      </c>
      <c r="AJ73" s="593">
        <f t="shared" si="192"/>
        <v>0</v>
      </c>
      <c r="AK73" s="594">
        <f t="shared" si="192"/>
        <v>0</v>
      </c>
      <c r="AL73" s="593"/>
      <c r="AM73" s="593"/>
      <c r="AR73" s="661"/>
      <c r="AS73" s="658" t="str">
        <f>OwnershipCost!A18</f>
        <v>ANL09 Lit Review 2015 retail</v>
      </c>
      <c r="AT73" s="171" t="str">
        <f>OwnershipCost!A23</f>
        <v>ANL09 DOE Goals 2030 retail</v>
      </c>
      <c r="AU73" s="662"/>
      <c r="AV73" s="653" t="str">
        <f>AS73</f>
        <v>ANL09 Lit Review 2015 retail</v>
      </c>
      <c r="AW73" s="664" t="str">
        <f>AT73</f>
        <v>ANL09 DOE Goals 2030 retail</v>
      </c>
      <c r="AY73" s="890" t="s">
        <v>739</v>
      </c>
      <c r="AZ73" s="681" t="str">
        <f>AQ32</f>
        <v>CV</v>
      </c>
      <c r="BA73" s="682">
        <f t="shared" ref="BA73:BA77" si="193">AR32</f>
        <v>4801.5346124455709</v>
      </c>
      <c r="BB73" s="682">
        <f t="shared" ref="BB73:BB77" si="194">AS32</f>
        <v>4783.1986796665196</v>
      </c>
      <c r="BC73" s="682">
        <f t="shared" ref="BC73:BC77" si="195">AT32</f>
        <v>4977.786626849911</v>
      </c>
      <c r="BD73" s="685"/>
      <c r="BE73" s="666"/>
      <c r="BF73" s="666"/>
      <c r="BG73" s="666"/>
      <c r="BH73" s="666"/>
      <c r="BI73" s="666"/>
      <c r="BJ73" s="666"/>
      <c r="BK73" s="686"/>
      <c r="BL73" s="685"/>
      <c r="BM73" s="770"/>
      <c r="BN73" s="686"/>
      <c r="BO73" s="682">
        <f>BA73-BB73</f>
        <v>18.335932779051291</v>
      </c>
      <c r="BP73" s="682">
        <f>BC73-BA73</f>
        <v>176.25201440434012</v>
      </c>
      <c r="BR73" s="707" t="s">
        <v>241</v>
      </c>
      <c r="BS73" s="91"/>
      <c r="BT73" s="32"/>
      <c r="BU73" s="32"/>
      <c r="BV73" s="32"/>
      <c r="BW73" s="710"/>
      <c r="BX73" s="707"/>
      <c r="BY73" s="707"/>
      <c r="BZ73" s="707"/>
      <c r="CA73" s="707"/>
      <c r="CB73" s="830"/>
      <c r="CC73" s="830"/>
      <c r="CD73" s="707"/>
      <c r="CE73" s="830"/>
      <c r="CF73" s="32"/>
      <c r="CG73" s="32"/>
    </row>
    <row r="74" spans="25:85" ht="12.75" customHeight="1">
      <c r="Y74" s="896"/>
      <c r="Z74" s="602" t="str">
        <f t="shared" si="173"/>
        <v>HEV</v>
      </c>
      <c r="AA74" s="592">
        <f t="shared" ref="AA74:AK74" si="196">I16</f>
        <v>0</v>
      </c>
      <c r="AB74" s="593">
        <f t="shared" si="196"/>
        <v>0</v>
      </c>
      <c r="AC74" s="593">
        <f t="shared" si="196"/>
        <v>0</v>
      </c>
      <c r="AD74" s="593">
        <f t="shared" si="196"/>
        <v>0</v>
      </c>
      <c r="AE74" s="593">
        <f t="shared" si="196"/>
        <v>0</v>
      </c>
      <c r="AF74" s="593">
        <f t="shared" si="196"/>
        <v>0</v>
      </c>
      <c r="AG74" s="593">
        <f t="shared" si="196"/>
        <v>0</v>
      </c>
      <c r="AH74" s="594">
        <f t="shared" si="196"/>
        <v>0</v>
      </c>
      <c r="AI74" s="592">
        <f t="shared" si="196"/>
        <v>0</v>
      </c>
      <c r="AJ74" s="593">
        <f t="shared" si="196"/>
        <v>0</v>
      </c>
      <c r="AK74" s="594">
        <f t="shared" si="196"/>
        <v>0</v>
      </c>
      <c r="AL74" s="593"/>
      <c r="AM74" s="593"/>
      <c r="AP74" s="893" t="s">
        <v>560</v>
      </c>
      <c r="AQ74" s="652" t="str">
        <f t="shared" ref="AQ74:AQ78" si="197">AQ68</f>
        <v>CV</v>
      </c>
      <c r="AR74" s="705">
        <f>$AK$23</f>
        <v>4801.5346124455709</v>
      </c>
      <c r="AS74" s="703">
        <f t="dataTable" ref="AS74:AT78" dt2D="0" dtr="1" r1="B21" ca="1"/>
        <v>4801.5346124455709</v>
      </c>
      <c r="AT74" s="652">
        <v>4801.5346124455709</v>
      </c>
      <c r="AU74" s="661">
        <f>AI$40</f>
        <v>44587.220125613137</v>
      </c>
      <c r="AV74" s="20">
        <f t="dataTable" ref="AV74:AW78" dt2D="0" dtr="1" r1="B21" ca="1"/>
        <v>44587.220125613137</v>
      </c>
      <c r="AW74" s="660">
        <v>44587.74673074254</v>
      </c>
      <c r="AY74" s="891"/>
      <c r="AZ74" s="91" t="str">
        <f t="shared" ref="AZ74:AZ77" si="198">AQ33</f>
        <v>HEV</v>
      </c>
      <c r="BA74" s="32">
        <f t="shared" si="193"/>
        <v>3910.2272578777161</v>
      </c>
      <c r="BB74" s="32">
        <f t="shared" si="194"/>
        <v>3897.1301630355374</v>
      </c>
      <c r="BC74" s="32">
        <f t="shared" si="195"/>
        <v>4036.1215538808169</v>
      </c>
      <c r="BD74" s="657"/>
      <c r="BE74" s="655"/>
      <c r="BF74" s="655"/>
      <c r="BG74" s="655"/>
      <c r="BH74" s="655"/>
      <c r="BI74" s="655"/>
      <c r="BJ74" s="655"/>
      <c r="BK74" s="659"/>
      <c r="BL74" s="710"/>
      <c r="BM74" s="766"/>
      <c r="BN74" s="692"/>
      <c r="BO74" s="32">
        <f>BA74-BB74</f>
        <v>13.097094842178649</v>
      </c>
      <c r="BP74" s="32">
        <f>BC74-BA74</f>
        <v>125.89429600310086</v>
      </c>
      <c r="BR74" s="890" t="str">
        <f t="shared" ref="BR74:BS78" si="199">AP104</f>
        <v>Oil Monop-sony Cases</v>
      </c>
      <c r="BS74" s="681" t="str">
        <f t="shared" si="199"/>
        <v>CV</v>
      </c>
      <c r="BT74" s="682">
        <f t="shared" ref="BT74:BT78" si="200">AU104</f>
        <v>44587.220125613137</v>
      </c>
      <c r="BU74" s="682">
        <f t="shared" ref="BU74:BU78" si="201">AV104</f>
        <v>44029.123929984045</v>
      </c>
      <c r="BV74" s="682">
        <f t="shared" ref="BV74:BV78" si="202">AW104</f>
        <v>45472.347647896335</v>
      </c>
      <c r="BW74" s="685"/>
      <c r="BX74" s="770"/>
      <c r="BY74" s="770"/>
      <c r="BZ74" s="770"/>
      <c r="CA74" s="770"/>
      <c r="CB74" s="817"/>
      <c r="CC74" s="817"/>
      <c r="CD74" s="770"/>
      <c r="CE74" s="817"/>
      <c r="CF74" s="682">
        <f t="shared" ref="CF74:CF78" si="203">BT74-BU74</f>
        <v>558.09619562909211</v>
      </c>
      <c r="CG74" s="682">
        <f t="shared" ref="CG74:CG78" si="204">BV74-BT74</f>
        <v>885.12752228319732</v>
      </c>
    </row>
    <row r="75" spans="25:85">
      <c r="Y75" s="896"/>
      <c r="Z75" s="602" t="str">
        <f t="shared" si="173"/>
        <v>PHEV20</v>
      </c>
      <c r="AA75" s="592">
        <f t="shared" ref="AA75:AK75" si="205">I22</f>
        <v>149.3217274420262</v>
      </c>
      <c r="AB75" s="593">
        <f t="shared" si="205"/>
        <v>6.102421820231043E-3</v>
      </c>
      <c r="AC75" s="593">
        <f t="shared" si="205"/>
        <v>0</v>
      </c>
      <c r="AD75" s="593">
        <f t="shared" si="205"/>
        <v>8.4429102897687525</v>
      </c>
      <c r="AE75" s="593">
        <f t="shared" si="205"/>
        <v>3.5935974791211405</v>
      </c>
      <c r="AF75" s="593">
        <f t="shared" si="205"/>
        <v>10.088974341697343</v>
      </c>
      <c r="AG75" s="593">
        <f t="shared" si="205"/>
        <v>91.233668227584616</v>
      </c>
      <c r="AH75" s="594">
        <f t="shared" si="205"/>
        <v>6.3631748174748703E-2</v>
      </c>
      <c r="AI75" s="592">
        <f t="shared" si="205"/>
        <v>0</v>
      </c>
      <c r="AJ75" s="593">
        <f t="shared" si="205"/>
        <v>0</v>
      </c>
      <c r="AK75" s="594">
        <f t="shared" si="205"/>
        <v>0</v>
      </c>
      <c r="AL75" s="593"/>
      <c r="AM75" s="593"/>
      <c r="AP75" s="894"/>
      <c r="AQ75" s="20" t="str">
        <f t="shared" si="197"/>
        <v>HEV</v>
      </c>
      <c r="AR75" s="661">
        <f>$AK$24</f>
        <v>3910.2272578777161</v>
      </c>
      <c r="AS75" s="658">
        <v>3910.2272578777161</v>
      </c>
      <c r="AT75" s="20">
        <v>3910.2272578777161</v>
      </c>
      <c r="AU75" s="661">
        <f>AI$41</f>
        <v>43587.2467938478</v>
      </c>
      <c r="AV75" s="20">
        <v>43587.2467938478</v>
      </c>
      <c r="AW75" s="660">
        <v>42933.72982825803</v>
      </c>
      <c r="AY75" s="891"/>
      <c r="AZ75" s="91" t="str">
        <f t="shared" si="198"/>
        <v>PHEV20</v>
      </c>
      <c r="BA75" s="32">
        <f t="shared" si="193"/>
        <v>3632.7889258841947</v>
      </c>
      <c r="BB75" s="32">
        <f t="shared" si="194"/>
        <v>3622.1466201083176</v>
      </c>
      <c r="BC75" s="32">
        <f t="shared" si="195"/>
        <v>3735.086848411936</v>
      </c>
      <c r="BD75" s="657"/>
      <c r="BE75" s="655"/>
      <c r="BF75" s="655"/>
      <c r="BG75" s="655"/>
      <c r="BH75" s="655"/>
      <c r="BI75" s="655"/>
      <c r="BJ75" s="655"/>
      <c r="BK75" s="659"/>
      <c r="BL75" s="710"/>
      <c r="BM75" s="766"/>
      <c r="BN75" s="692"/>
      <c r="BO75" s="32">
        <f>BA75-BB75</f>
        <v>10.642305775877048</v>
      </c>
      <c r="BP75" s="32">
        <f>BC75-BA75</f>
        <v>102.29792252774132</v>
      </c>
      <c r="BR75" s="891"/>
      <c r="BS75" s="91" t="str">
        <f t="shared" si="199"/>
        <v>HEV</v>
      </c>
      <c r="BT75" s="769">
        <f t="shared" si="200"/>
        <v>43587.2467938478</v>
      </c>
      <c r="BU75" s="769">
        <f t="shared" si="201"/>
        <v>43188.606654112737</v>
      </c>
      <c r="BV75" s="769">
        <f t="shared" si="202"/>
        <v>44219.480738335798</v>
      </c>
      <c r="BW75" s="710"/>
      <c r="BX75" s="766"/>
      <c r="BY75" s="766"/>
      <c r="BZ75" s="766"/>
      <c r="CA75" s="766"/>
      <c r="CB75" s="830"/>
      <c r="CC75" s="830"/>
      <c r="CD75" s="766"/>
      <c r="CE75" s="830"/>
      <c r="CF75" s="769">
        <f t="shared" si="203"/>
        <v>398.64013973506371</v>
      </c>
      <c r="CG75" s="769">
        <f t="shared" si="204"/>
        <v>632.23394448799809</v>
      </c>
    </row>
    <row r="76" spans="25:85">
      <c r="Y76" s="896"/>
      <c r="Z76" s="602" t="str">
        <f t="shared" si="173"/>
        <v>PHEV60</v>
      </c>
      <c r="AA76" s="592">
        <f t="shared" ref="AA76:AK76" si="206">I28</f>
        <v>438.73725401514599</v>
      </c>
      <c r="AB76" s="593">
        <f t="shared" si="206"/>
        <v>1.793014210399994E-2</v>
      </c>
      <c r="AC76" s="593">
        <f t="shared" si="206"/>
        <v>0</v>
      </c>
      <c r="AD76" s="593">
        <f t="shared" si="206"/>
        <v>24.806967745986711</v>
      </c>
      <c r="AE76" s="593">
        <f t="shared" si="206"/>
        <v>10.558711830048237</v>
      </c>
      <c r="AF76" s="593">
        <f t="shared" si="206"/>
        <v>29.643434845904128</v>
      </c>
      <c r="AG76" s="593">
        <f t="shared" si="206"/>
        <v>268.06285835020202</v>
      </c>
      <c r="AH76" s="594">
        <f t="shared" si="206"/>
        <v>0.18696286830201236</v>
      </c>
      <c r="AI76" s="592">
        <f t="shared" si="206"/>
        <v>0</v>
      </c>
      <c r="AJ76" s="593">
        <f t="shared" si="206"/>
        <v>0</v>
      </c>
      <c r="AK76" s="594">
        <f t="shared" si="206"/>
        <v>0</v>
      </c>
      <c r="AL76" s="593"/>
      <c r="AM76" s="593"/>
      <c r="AP76" s="894"/>
      <c r="AQ76" s="20" t="str">
        <f t="shared" si="197"/>
        <v>PHEV20</v>
      </c>
      <c r="AR76" s="661">
        <f>$AK$25</f>
        <v>3632.7889258841947</v>
      </c>
      <c r="AS76" s="658">
        <v>3632.7889258841947</v>
      </c>
      <c r="AT76" s="20">
        <v>3632.7889258841947</v>
      </c>
      <c r="AU76" s="661">
        <f>AI$42</f>
        <v>44342.078748103791</v>
      </c>
      <c r="AV76" s="20">
        <v>44342.078748103791</v>
      </c>
      <c r="AW76" s="660">
        <v>42682.219380223913</v>
      </c>
      <c r="AY76" s="891"/>
      <c r="AZ76" s="91" t="str">
        <f t="shared" si="198"/>
        <v>PHEV60</v>
      </c>
      <c r="BA76" s="32">
        <f t="shared" si="193"/>
        <v>4145.8901532997616</v>
      </c>
      <c r="BB76" s="32">
        <f t="shared" si="194"/>
        <v>4136.6728865344185</v>
      </c>
      <c r="BC76" s="32">
        <f t="shared" si="195"/>
        <v>4234.4900546121271</v>
      </c>
      <c r="BD76" s="657"/>
      <c r="BE76" s="655"/>
      <c r="BF76" s="655"/>
      <c r="BG76" s="655"/>
      <c r="BH76" s="655"/>
      <c r="BI76" s="655"/>
      <c r="BJ76" s="655"/>
      <c r="BK76" s="659"/>
      <c r="BL76" s="710"/>
      <c r="BM76" s="766"/>
      <c r="BN76" s="692"/>
      <c r="BO76" s="32">
        <f>BA76-BB76</f>
        <v>9.2172667653430835</v>
      </c>
      <c r="BP76" s="32">
        <f>BC76-BA76</f>
        <v>88.599901312365546</v>
      </c>
      <c r="BR76" s="891"/>
      <c r="BS76" s="91" t="str">
        <f t="shared" si="199"/>
        <v>PHEV20</v>
      </c>
      <c r="BT76" s="769">
        <f t="shared" si="200"/>
        <v>44342.078748103791</v>
      </c>
      <c r="BU76" s="769">
        <f t="shared" si="201"/>
        <v>44018.155747413904</v>
      </c>
      <c r="BV76" s="769">
        <f t="shared" si="202"/>
        <v>44855.813056376574</v>
      </c>
      <c r="BW76" s="710"/>
      <c r="BX76" s="766"/>
      <c r="BY76" s="766"/>
      <c r="BZ76" s="766"/>
      <c r="CA76" s="766"/>
      <c r="CB76" s="830"/>
      <c r="CC76" s="830"/>
      <c r="CD76" s="766"/>
      <c r="CE76" s="830"/>
      <c r="CF76" s="769">
        <f t="shared" si="203"/>
        <v>323.92300068988698</v>
      </c>
      <c r="CG76" s="769">
        <f t="shared" si="204"/>
        <v>513.73430827278207</v>
      </c>
    </row>
    <row r="77" spans="25:85">
      <c r="Y77" s="897"/>
      <c r="Z77" s="603" t="str">
        <f t="shared" si="173"/>
        <v>BEV240</v>
      </c>
      <c r="AA77" s="595">
        <f t="shared" ref="AA77:AK77" si="207">I34</f>
        <v>1001.3739478001274</v>
      </c>
      <c r="AB77" s="596">
        <f t="shared" si="207"/>
        <v>4.0923757941649222E-2</v>
      </c>
      <c r="AC77" s="596">
        <f t="shared" si="207"/>
        <v>0</v>
      </c>
      <c r="AD77" s="596">
        <f t="shared" si="207"/>
        <v>56.619425401909425</v>
      </c>
      <c r="AE77" s="596">
        <f t="shared" si="207"/>
        <v>24.099204825160125</v>
      </c>
      <c r="AF77" s="596">
        <f t="shared" si="207"/>
        <v>67.658178343282728</v>
      </c>
      <c r="AG77" s="596">
        <f t="shared" si="207"/>
        <v>611.8266918711704</v>
      </c>
      <c r="AH77" s="597">
        <f t="shared" si="207"/>
        <v>0.42672406733246832</v>
      </c>
      <c r="AI77" s="595">
        <f t="shared" si="207"/>
        <v>0</v>
      </c>
      <c r="AJ77" s="596">
        <f t="shared" si="207"/>
        <v>0</v>
      </c>
      <c r="AK77" s="597">
        <f t="shared" si="207"/>
        <v>0</v>
      </c>
      <c r="AL77" s="593"/>
      <c r="AM77" s="593"/>
      <c r="AP77" s="894"/>
      <c r="AQ77" s="20" t="str">
        <f t="shared" si="197"/>
        <v>PHEV60</v>
      </c>
      <c r="AR77" s="661">
        <f>$AK$26</f>
        <v>4145.8901532997616</v>
      </c>
      <c r="AS77" s="658">
        <v>4145.8901532997616</v>
      </c>
      <c r="AT77" s="20">
        <v>4145.8901532997616</v>
      </c>
      <c r="AU77" s="661">
        <f>AI$43</f>
        <v>52780.398428948298</v>
      </c>
      <c r="AV77" s="20">
        <v>52780.398428948298</v>
      </c>
      <c r="AW77" s="660">
        <v>46748.663276760417</v>
      </c>
      <c r="AY77" s="892"/>
      <c r="AZ77" s="683" t="str">
        <f t="shared" si="198"/>
        <v>BEV240</v>
      </c>
      <c r="BA77" s="28">
        <f t="shared" si="193"/>
        <v>4667.4752102121438</v>
      </c>
      <c r="BB77" s="28">
        <f t="shared" si="194"/>
        <v>4667.4752102121438</v>
      </c>
      <c r="BC77" s="28">
        <f t="shared" si="195"/>
        <v>4667.4752102121438</v>
      </c>
      <c r="BD77" s="687"/>
      <c r="BE77" s="656"/>
      <c r="BF77" s="656"/>
      <c r="BG77" s="656"/>
      <c r="BH77" s="656"/>
      <c r="BI77" s="656"/>
      <c r="BJ77" s="656"/>
      <c r="BK77" s="688"/>
      <c r="BL77" s="687"/>
      <c r="BM77" s="767"/>
      <c r="BN77" s="688"/>
      <c r="BO77" s="28">
        <f>BA77-BB77</f>
        <v>0</v>
      </c>
      <c r="BP77" s="28">
        <f>BC77-BA77</f>
        <v>0</v>
      </c>
      <c r="BR77" s="891"/>
      <c r="BS77" s="91" t="str">
        <f t="shared" si="199"/>
        <v>PHEV60</v>
      </c>
      <c r="BT77" s="769">
        <f t="shared" si="200"/>
        <v>52780.398428948298</v>
      </c>
      <c r="BU77" s="769">
        <f t="shared" si="201"/>
        <v>52499.849761049918</v>
      </c>
      <c r="BV77" s="769">
        <f t="shared" si="202"/>
        <v>53225.342059171096</v>
      </c>
      <c r="BW77" s="710"/>
      <c r="BX77" s="766"/>
      <c r="BY77" s="766"/>
      <c r="BZ77" s="766"/>
      <c r="CA77" s="766"/>
      <c r="CB77" s="830"/>
      <c r="CC77" s="830"/>
      <c r="CD77" s="766"/>
      <c r="CE77" s="830"/>
      <c r="CF77" s="769">
        <f t="shared" si="203"/>
        <v>280.54866789837979</v>
      </c>
      <c r="CG77" s="769">
        <f t="shared" si="204"/>
        <v>444.94363022279867</v>
      </c>
    </row>
    <row r="78" spans="25:85" ht="12.75" customHeight="1">
      <c r="Y78" s="896" t="str">
        <f>H11</f>
        <v>Vehicle Operation</v>
      </c>
      <c r="Z78" s="602" t="str">
        <f t="shared" si="173"/>
        <v>CV</v>
      </c>
      <c r="AA78" s="592">
        <f t="shared" ref="AA78:AK78" si="208">I11</f>
        <v>1407.6500251373261</v>
      </c>
      <c r="AB78" s="593">
        <f t="shared" si="208"/>
        <v>292.04749719495413</v>
      </c>
      <c r="AC78" s="593">
        <f t="shared" si="208"/>
        <v>0</v>
      </c>
      <c r="AD78" s="593">
        <f t="shared" si="208"/>
        <v>22.384922827257611</v>
      </c>
      <c r="AE78" s="593">
        <f t="shared" si="208"/>
        <v>31.36204100209612</v>
      </c>
      <c r="AF78" s="593">
        <f t="shared" si="208"/>
        <v>105.72172869636664</v>
      </c>
      <c r="AG78" s="593">
        <f t="shared" si="208"/>
        <v>0</v>
      </c>
      <c r="AH78" s="594">
        <f t="shared" si="208"/>
        <v>102.4797200743992</v>
      </c>
      <c r="AI78" s="592">
        <f t="shared" si="208"/>
        <v>335.04288137349306</v>
      </c>
      <c r="AJ78" s="593">
        <f t="shared" si="208"/>
        <v>829.22473140215186</v>
      </c>
      <c r="AK78" s="594">
        <f t="shared" si="208"/>
        <v>119.9726900992793</v>
      </c>
      <c r="AL78" s="593"/>
      <c r="AM78" s="593"/>
      <c r="AP78" s="895"/>
      <c r="AQ78" s="653" t="str">
        <f t="shared" si="197"/>
        <v>BEV240</v>
      </c>
      <c r="AR78" s="662">
        <f>$AK$27</f>
        <v>4667.4752102121438</v>
      </c>
      <c r="AS78" s="663">
        <v>4667.4752102121438</v>
      </c>
      <c r="AT78" s="653">
        <v>4667.4752102121438</v>
      </c>
      <c r="AU78" s="661">
        <f>AI$44</f>
        <v>67031.631929099676</v>
      </c>
      <c r="AV78" s="20">
        <v>67031.631929099676</v>
      </c>
      <c r="AW78" s="660">
        <v>45150.13559212473</v>
      </c>
      <c r="AY78" s="655" t="s">
        <v>241</v>
      </c>
      <c r="AZ78" s="91"/>
      <c r="BA78" s="32"/>
      <c r="BB78" s="32"/>
      <c r="BC78" s="32"/>
      <c r="BD78" s="657"/>
      <c r="BE78" s="655"/>
      <c r="BF78" s="655"/>
      <c r="BG78" s="655"/>
      <c r="BH78" s="655"/>
      <c r="BI78" s="655"/>
      <c r="BJ78" s="655"/>
      <c r="BK78" s="659"/>
      <c r="BL78" s="710"/>
      <c r="BM78" s="766"/>
      <c r="BN78" s="692"/>
      <c r="BO78" s="32"/>
      <c r="BP78" s="32"/>
      <c r="BR78" s="892"/>
      <c r="BS78" s="683" t="str">
        <f t="shared" si="199"/>
        <v>BEV240</v>
      </c>
      <c r="BT78" s="768">
        <f t="shared" si="200"/>
        <v>67031.631929099676</v>
      </c>
      <c r="BU78" s="768">
        <f t="shared" si="201"/>
        <v>67031.631929099676</v>
      </c>
      <c r="BV78" s="768">
        <f t="shared" si="202"/>
        <v>67031.631929099676</v>
      </c>
      <c r="BW78" s="687"/>
      <c r="BX78" s="767"/>
      <c r="BY78" s="767"/>
      <c r="BZ78" s="767"/>
      <c r="CA78" s="767"/>
      <c r="CB78" s="831"/>
      <c r="CC78" s="831"/>
      <c r="CD78" s="767"/>
      <c r="CE78" s="831"/>
      <c r="CF78" s="768">
        <f t="shared" si="203"/>
        <v>0</v>
      </c>
      <c r="CG78" s="768">
        <f t="shared" si="204"/>
        <v>0</v>
      </c>
    </row>
    <row r="79" spans="25:85">
      <c r="Y79" s="896"/>
      <c r="Z79" s="602" t="str">
        <f>Z74</f>
        <v>HEV</v>
      </c>
      <c r="AA79" s="592">
        <f t="shared" ref="AA79:AK79" si="209">I17</f>
        <v>1009.3880874553493</v>
      </c>
      <c r="AB79" s="593">
        <f t="shared" si="209"/>
        <v>292.04749719495413</v>
      </c>
      <c r="AC79" s="593">
        <f t="shared" si="209"/>
        <v>0</v>
      </c>
      <c r="AD79" s="593">
        <f t="shared" si="209"/>
        <v>18.803335174896393</v>
      </c>
      <c r="AE79" s="593">
        <f t="shared" si="209"/>
        <v>31.36204100209612</v>
      </c>
      <c r="AF79" s="593">
        <f t="shared" si="209"/>
        <v>105.72172869636664</v>
      </c>
      <c r="AG79" s="593">
        <f t="shared" si="209"/>
        <v>0</v>
      </c>
      <c r="AH79" s="594">
        <f t="shared" si="209"/>
        <v>72.288655173533442</v>
      </c>
      <c r="AI79" s="592">
        <f t="shared" si="209"/>
        <v>239.31634383820932</v>
      </c>
      <c r="AJ79" s="593">
        <f t="shared" si="209"/>
        <v>592.3033795729657</v>
      </c>
      <c r="AK79" s="594">
        <f t="shared" si="209"/>
        <v>85.694778642342385</v>
      </c>
      <c r="AL79" s="593"/>
      <c r="AM79" s="593"/>
      <c r="AR79" s="661"/>
      <c r="AS79" s="658" t="str">
        <f>OwnershipCost!R18</f>
        <v>Min since 2008</v>
      </c>
      <c r="AT79" s="171" t="str">
        <f>OwnershipCost!R19</f>
        <v>Max since 2008</v>
      </c>
      <c r="AU79" s="662"/>
      <c r="AV79" s="653" t="str">
        <f>AS79</f>
        <v>Min since 2008</v>
      </c>
      <c r="AW79" s="664" t="str">
        <f>AT79</f>
        <v>Max since 2008</v>
      </c>
      <c r="AY79" s="890" t="s">
        <v>740</v>
      </c>
      <c r="AZ79" s="681" t="str">
        <f>AQ38</f>
        <v>CV</v>
      </c>
      <c r="BA79" s="682">
        <f t="shared" ref="BA79:BA83" si="210">AR38</f>
        <v>4801.5346124455709</v>
      </c>
      <c r="BB79" s="682">
        <f t="shared" ref="BB79:BB83" si="211">AS38</f>
        <v>4735.7420375995507</v>
      </c>
      <c r="BC79" s="682">
        <f t="shared" ref="BC79:BC83" si="212">AT38</f>
        <v>4849.9331941142846</v>
      </c>
      <c r="BD79" s="685"/>
      <c r="BE79" s="666"/>
      <c r="BF79" s="666"/>
      <c r="BG79" s="666"/>
      <c r="BH79" s="666"/>
      <c r="BI79" s="666"/>
      <c r="BJ79" s="666"/>
      <c r="BK79" s="686"/>
      <c r="BL79" s="685"/>
      <c r="BM79" s="770"/>
      <c r="BN79" s="686"/>
      <c r="BO79" s="682">
        <f>BA79-BB79</f>
        <v>65.792574846020216</v>
      </c>
      <c r="BP79" s="682">
        <f>BC79-BA79</f>
        <v>48.398581668713632</v>
      </c>
      <c r="BR79" s="766" t="s">
        <v>241</v>
      </c>
      <c r="BS79" s="91"/>
      <c r="BT79" s="769"/>
      <c r="BU79" s="769"/>
      <c r="BV79" s="769"/>
      <c r="BW79" s="710"/>
      <c r="BX79" s="766"/>
      <c r="BY79" s="766"/>
      <c r="BZ79" s="766"/>
      <c r="CA79" s="766"/>
      <c r="CB79" s="830"/>
      <c r="CC79" s="830"/>
      <c r="CD79" s="766"/>
      <c r="CE79" s="830"/>
      <c r="CF79" s="769"/>
      <c r="CG79" s="769"/>
    </row>
    <row r="80" spans="25:85" ht="12.75" customHeight="1">
      <c r="Y80" s="896"/>
      <c r="Z80" s="602" t="str">
        <f t="shared" si="173"/>
        <v>PHEV20</v>
      </c>
      <c r="AA80" s="592">
        <f t="shared" ref="AA80:AK80" si="213">I23</f>
        <v>818.74042762098486</v>
      </c>
      <c r="AB80" s="593">
        <f t="shared" si="213"/>
        <v>209.13521274130665</v>
      </c>
      <c r="AC80" s="593">
        <f t="shared" si="213"/>
        <v>0</v>
      </c>
      <c r="AD80" s="593">
        <f t="shared" si="213"/>
        <v>13.465068318743308</v>
      </c>
      <c r="AE80" s="593">
        <f t="shared" si="213"/>
        <v>28.840368419298553</v>
      </c>
      <c r="AF80" s="593">
        <f t="shared" si="213"/>
        <v>90.511729316181587</v>
      </c>
      <c r="AG80" s="593">
        <f t="shared" si="213"/>
        <v>0</v>
      </c>
      <c r="AH80" s="594">
        <f t="shared" si="213"/>
        <v>51.765905969767296</v>
      </c>
      <c r="AI80" s="592">
        <f t="shared" si="213"/>
        <v>194.46127091397832</v>
      </c>
      <c r="AJ80" s="593">
        <f t="shared" si="213"/>
        <v>481.28793090818442</v>
      </c>
      <c r="AK80" s="594">
        <f t="shared" si="213"/>
        <v>69.633002486231831</v>
      </c>
      <c r="AL80" s="593"/>
      <c r="AM80" s="593"/>
      <c r="AP80" s="893" t="s">
        <v>561</v>
      </c>
      <c r="AQ80" s="652" t="str">
        <f t="shared" ref="AQ80:AQ84" si="214">AQ62</f>
        <v>CV</v>
      </c>
      <c r="AR80" s="705">
        <f>$AK$23</f>
        <v>4801.5346124455709</v>
      </c>
      <c r="AS80" s="703">
        <f t="dataTable" ref="AS80:AT84" dt2D="0" dtr="1" r1="B22" ca="1"/>
        <v>4801.5346124455709</v>
      </c>
      <c r="AT80" s="652">
        <v>4801.5346124455709</v>
      </c>
      <c r="AU80" s="661">
        <f>AI$40</f>
        <v>44587.220125613137</v>
      </c>
      <c r="AV80" s="20">
        <f t="dataTable" ref="AV80:AW84" dt2D="0" dtr="1" r1="B22" ca="1"/>
        <v>39360.19414167761</v>
      </c>
      <c r="AW80" s="660">
        <v>50454.723779349326</v>
      </c>
      <c r="AY80" s="891"/>
      <c r="AZ80" s="91" t="str">
        <f t="shared" ref="AZ80:AZ83" si="215">AQ39</f>
        <v>HEV</v>
      </c>
      <c r="BA80" s="32">
        <f t="shared" si="210"/>
        <v>3910.2272578777161</v>
      </c>
      <c r="BB80" s="32">
        <f t="shared" si="211"/>
        <v>3841.2389513591493</v>
      </c>
      <c r="BC80" s="32">
        <f t="shared" si="212"/>
        <v>3960.7441982278629</v>
      </c>
      <c r="BD80" s="657"/>
      <c r="BE80" s="655"/>
      <c r="BF80" s="655"/>
      <c r="BG80" s="655"/>
      <c r="BH80" s="655"/>
      <c r="BI80" s="655"/>
      <c r="BJ80" s="655"/>
      <c r="BK80" s="659"/>
      <c r="BL80" s="710"/>
      <c r="BM80" s="766"/>
      <c r="BN80" s="692"/>
      <c r="BO80" s="32">
        <f>BA80-BB80</f>
        <v>68.988306518566787</v>
      </c>
      <c r="BP80" s="32">
        <f>BC80-BA80</f>
        <v>50.516940350146797</v>
      </c>
      <c r="BR80" s="890" t="str">
        <f t="shared" ref="BR80:BS84" si="216">AP110</f>
        <v>Oil Military Cases</v>
      </c>
      <c r="BS80" s="681" t="str">
        <f t="shared" si="216"/>
        <v>CV</v>
      </c>
      <c r="BT80" s="682">
        <f t="shared" ref="BT80:BT84" si="217">AU110</f>
        <v>44587.220125613137</v>
      </c>
      <c r="BU80" s="682">
        <f t="shared" ref="BU80:BU84" si="218">AV110</f>
        <v>44587.220125613137</v>
      </c>
      <c r="BV80" s="682">
        <f t="shared" ref="BV80:BV84" si="219">AW110</f>
        <v>45067.110886010254</v>
      </c>
      <c r="BW80" s="685"/>
      <c r="BX80" s="770"/>
      <c r="BY80" s="770"/>
      <c r="BZ80" s="770"/>
      <c r="CA80" s="770"/>
      <c r="CB80" s="817"/>
      <c r="CC80" s="817"/>
      <c r="CD80" s="770"/>
      <c r="CE80" s="817"/>
      <c r="CF80" s="682">
        <f t="shared" ref="CF80:CF84" si="220">BT80-BU80</f>
        <v>0</v>
      </c>
      <c r="CG80" s="682">
        <f t="shared" ref="CG80:CG84" si="221">BV80-BT80</f>
        <v>479.89076039711654</v>
      </c>
    </row>
    <row r="81" spans="25:85">
      <c r="Y81" s="896"/>
      <c r="Z81" s="602" t="str">
        <f t="shared" si="173"/>
        <v>PHEV60</v>
      </c>
      <c r="AA81" s="592">
        <f t="shared" ref="AA81:AK81" si="222">I29</f>
        <v>707.82059160599943</v>
      </c>
      <c r="AB81" s="593">
        <f t="shared" si="222"/>
        <v>156.24541099930042</v>
      </c>
      <c r="AC81" s="593">
        <f t="shared" si="222"/>
        <v>0</v>
      </c>
      <c r="AD81" s="593">
        <f t="shared" si="222"/>
        <v>10.059784318569569</v>
      </c>
      <c r="AE81" s="593">
        <f t="shared" si="222"/>
        <v>27.231791791103284</v>
      </c>
      <c r="AF81" s="593">
        <f t="shared" si="222"/>
        <v>80.809260532273498</v>
      </c>
      <c r="AG81" s="593">
        <f t="shared" si="222"/>
        <v>0</v>
      </c>
      <c r="AH81" s="594">
        <f t="shared" si="222"/>
        <v>38.674430517840392</v>
      </c>
      <c r="AI81" s="592">
        <f t="shared" si="222"/>
        <v>168.42228059307067</v>
      </c>
      <c r="AJ81" s="593">
        <f t="shared" si="222"/>
        <v>416.84192726136246</v>
      </c>
      <c r="AK81" s="594">
        <f t="shared" si="222"/>
        <v>60.308919242135367</v>
      </c>
      <c r="AL81" s="593"/>
      <c r="AM81" s="593"/>
      <c r="AP81" s="894"/>
      <c r="AQ81" s="20" t="str">
        <f t="shared" si="214"/>
        <v>HEV</v>
      </c>
      <c r="AR81" s="661">
        <f>$AK$24</f>
        <v>3910.2272578777161</v>
      </c>
      <c r="AS81" s="658">
        <v>3910.2272578777161</v>
      </c>
      <c r="AT81" s="20">
        <v>3910.2272578777161</v>
      </c>
      <c r="AU81" s="661">
        <f>AI$41</f>
        <v>43587.2467938478</v>
      </c>
      <c r="AV81" s="20">
        <v>39853.656805322425</v>
      </c>
      <c r="AW81" s="660">
        <v>47778.320832230791</v>
      </c>
      <c r="AY81" s="891"/>
      <c r="AZ81" s="91" t="str">
        <f t="shared" si="215"/>
        <v>PHEV20</v>
      </c>
      <c r="BA81" s="32">
        <f t="shared" si="210"/>
        <v>3632.7889258841947</v>
      </c>
      <c r="BB81" s="32">
        <f t="shared" si="211"/>
        <v>3566.7166113847375</v>
      </c>
      <c r="BC81" s="32">
        <f t="shared" si="212"/>
        <v>3681.3729389295454</v>
      </c>
      <c r="BD81" s="657"/>
      <c r="BE81" s="655"/>
      <c r="BF81" s="655"/>
      <c r="BG81" s="655"/>
      <c r="BH81" s="655"/>
      <c r="BI81" s="655"/>
      <c r="BJ81" s="655"/>
      <c r="BK81" s="659"/>
      <c r="BL81" s="710"/>
      <c r="BM81" s="766"/>
      <c r="BN81" s="692"/>
      <c r="BO81" s="32">
        <f>BA81-BB81</f>
        <v>66.072314499457207</v>
      </c>
      <c r="BP81" s="32">
        <f>BC81-BA81</f>
        <v>48.58401304535073</v>
      </c>
      <c r="BR81" s="891"/>
      <c r="BS81" s="91" t="str">
        <f t="shared" si="216"/>
        <v>HEV</v>
      </c>
      <c r="BT81" s="769">
        <f t="shared" si="217"/>
        <v>43587.2467938478</v>
      </c>
      <c r="BU81" s="769">
        <f t="shared" si="218"/>
        <v>43587.2467938478</v>
      </c>
      <c r="BV81" s="769">
        <f t="shared" si="219"/>
        <v>43930.02590841717</v>
      </c>
      <c r="BW81" s="710"/>
      <c r="BX81" s="766"/>
      <c r="BY81" s="766"/>
      <c r="BZ81" s="766"/>
      <c r="CA81" s="766"/>
      <c r="CB81" s="830"/>
      <c r="CC81" s="830"/>
      <c r="CD81" s="766"/>
      <c r="CE81" s="830"/>
      <c r="CF81" s="769">
        <f t="shared" si="220"/>
        <v>0</v>
      </c>
      <c r="CG81" s="769">
        <f t="shared" si="221"/>
        <v>342.77911456936999</v>
      </c>
    </row>
    <row r="82" spans="25:85" ht="13.5" thickBot="1">
      <c r="Y82" s="908"/>
      <c r="Z82" s="604" t="str">
        <f t="shared" si="173"/>
        <v>BEV240</v>
      </c>
      <c r="AA82" s="598">
        <f t="shared" ref="AA82:AK82" si="223">I35</f>
        <v>0</v>
      </c>
      <c r="AB82" s="599">
        <f t="shared" si="223"/>
        <v>0</v>
      </c>
      <c r="AC82" s="599">
        <f t="shared" si="223"/>
        <v>0</v>
      </c>
      <c r="AD82" s="599">
        <f t="shared" si="223"/>
        <v>0</v>
      </c>
      <c r="AE82" s="599">
        <f t="shared" si="223"/>
        <v>22.479784634369594</v>
      </c>
      <c r="AF82" s="599">
        <f t="shared" si="223"/>
        <v>52.146528343478138</v>
      </c>
      <c r="AG82" s="599">
        <f t="shared" si="223"/>
        <v>0</v>
      </c>
      <c r="AH82" s="600">
        <f t="shared" si="223"/>
        <v>0</v>
      </c>
      <c r="AI82" s="598">
        <f t="shared" si="223"/>
        <v>0</v>
      </c>
      <c r="AJ82" s="599">
        <f t="shared" si="223"/>
        <v>0</v>
      </c>
      <c r="AK82" s="600">
        <f t="shared" si="223"/>
        <v>0</v>
      </c>
      <c r="AL82" s="593"/>
      <c r="AM82" s="593"/>
      <c r="AP82" s="894"/>
      <c r="AQ82" s="20" t="str">
        <f t="shared" si="214"/>
        <v>PHEV20</v>
      </c>
      <c r="AR82" s="661">
        <f>$AK$25</f>
        <v>3632.7889258841947</v>
      </c>
      <c r="AS82" s="658">
        <v>3632.7889258841947</v>
      </c>
      <c r="AT82" s="20">
        <v>3632.7889258841947</v>
      </c>
      <c r="AU82" s="661">
        <f>AI$42</f>
        <v>44342.078748103791</v>
      </c>
      <c r="AV82" s="20">
        <v>41308.275696477736</v>
      </c>
      <c r="AW82" s="660">
        <v>47747.619593862</v>
      </c>
      <c r="AY82" s="891"/>
      <c r="AZ82" s="91" t="str">
        <f t="shared" si="215"/>
        <v>PHEV60</v>
      </c>
      <c r="BA82" s="32">
        <f t="shared" si="210"/>
        <v>4145.8901532997616</v>
      </c>
      <c r="BB82" s="32">
        <f t="shared" si="211"/>
        <v>4054.9047508933268</v>
      </c>
      <c r="BC82" s="32">
        <f t="shared" si="212"/>
        <v>4210.9883363245262</v>
      </c>
      <c r="BD82" s="657"/>
      <c r="BE82" s="655"/>
      <c r="BF82" s="655"/>
      <c r="BG82" s="655"/>
      <c r="BH82" s="655"/>
      <c r="BI82" s="655"/>
      <c r="BJ82" s="655"/>
      <c r="BK82" s="659"/>
      <c r="BL82" s="710"/>
      <c r="BM82" s="766"/>
      <c r="BN82" s="692"/>
      <c r="BO82" s="32">
        <f>BA82-BB82</f>
        <v>90.985402406434787</v>
      </c>
      <c r="BP82" s="32">
        <f>BC82-BA82</f>
        <v>65.098183024764694</v>
      </c>
      <c r="BR82" s="891"/>
      <c r="BS82" s="91" t="str">
        <f t="shared" si="216"/>
        <v>PHEV20</v>
      </c>
      <c r="BT82" s="769">
        <f t="shared" si="217"/>
        <v>44342.078748103791</v>
      </c>
      <c r="BU82" s="769">
        <f t="shared" si="218"/>
        <v>44342.078748103791</v>
      </c>
      <c r="BV82" s="769">
        <f t="shared" si="219"/>
        <v>44620.610758048722</v>
      </c>
      <c r="BW82" s="710"/>
      <c r="BX82" s="766"/>
      <c r="BY82" s="766"/>
      <c r="BZ82" s="766"/>
      <c r="CA82" s="766"/>
      <c r="CB82" s="830"/>
      <c r="CC82" s="830"/>
      <c r="CD82" s="766"/>
      <c r="CE82" s="830"/>
      <c r="CF82" s="769">
        <f t="shared" si="220"/>
        <v>0</v>
      </c>
      <c r="CG82" s="769">
        <f t="shared" si="221"/>
        <v>278.53200994493091</v>
      </c>
    </row>
    <row r="83" spans="25:85">
      <c r="AP83" s="894"/>
      <c r="AQ83" s="20" t="str">
        <f t="shared" si="214"/>
        <v>PHEV60</v>
      </c>
      <c r="AR83" s="661">
        <f>$AK$26</f>
        <v>4145.8901532997616</v>
      </c>
      <c r="AS83" s="658">
        <v>4145.8901532997616</v>
      </c>
      <c r="AT83" s="20">
        <v>4145.8901532997616</v>
      </c>
      <c r="AU83" s="661">
        <f>AI$43</f>
        <v>52780.398428948298</v>
      </c>
      <c r="AV83" s="20">
        <v>50152.831374472422</v>
      </c>
      <c r="AW83" s="660">
        <v>55729.926389964116</v>
      </c>
      <c r="AY83" s="892"/>
      <c r="AZ83" s="683" t="str">
        <f t="shared" si="215"/>
        <v>BEV240</v>
      </c>
      <c r="BA83" s="28">
        <f t="shared" si="210"/>
        <v>4667.4752102121438</v>
      </c>
      <c r="BB83" s="28">
        <f t="shared" si="211"/>
        <v>4465.8013809360737</v>
      </c>
      <c r="BC83" s="28">
        <f t="shared" si="212"/>
        <v>4805.9455702590512</v>
      </c>
      <c r="BD83" s="687"/>
      <c r="BE83" s="656"/>
      <c r="BF83" s="656"/>
      <c r="BG83" s="656"/>
      <c r="BH83" s="656"/>
      <c r="BI83" s="656"/>
      <c r="BJ83" s="656"/>
      <c r="BK83" s="688"/>
      <c r="BL83" s="687"/>
      <c r="BM83" s="767"/>
      <c r="BN83" s="688"/>
      <c r="BO83" s="28">
        <f>BA83-BB83</f>
        <v>201.67382927607014</v>
      </c>
      <c r="BP83" s="28">
        <f>BC83-BA83</f>
        <v>138.47036004690744</v>
      </c>
      <c r="BR83" s="891"/>
      <c r="BS83" s="91" t="str">
        <f t="shared" si="216"/>
        <v>PHEV60</v>
      </c>
      <c r="BT83" s="769">
        <f t="shared" si="217"/>
        <v>52780.398428948298</v>
      </c>
      <c r="BU83" s="769">
        <f t="shared" si="218"/>
        <v>52780.398428948298</v>
      </c>
      <c r="BV83" s="769">
        <f t="shared" si="219"/>
        <v>53021.634105916841</v>
      </c>
      <c r="BW83" s="710"/>
      <c r="BX83" s="766"/>
      <c r="BY83" s="766"/>
      <c r="BZ83" s="766"/>
      <c r="CA83" s="766"/>
      <c r="CB83" s="830"/>
      <c r="CC83" s="830"/>
      <c r="CD83" s="766"/>
      <c r="CE83" s="830"/>
      <c r="CF83" s="769">
        <f t="shared" si="220"/>
        <v>0</v>
      </c>
      <c r="CG83" s="769">
        <f t="shared" si="221"/>
        <v>241.23567696854298</v>
      </c>
    </row>
    <row r="84" spans="25:85" ht="12.75" customHeight="1">
      <c r="AP84" s="895"/>
      <c r="AQ84" s="653" t="str">
        <f t="shared" si="214"/>
        <v>BEV240</v>
      </c>
      <c r="AR84" s="662">
        <f>$AK$27</f>
        <v>4667.4752102121438</v>
      </c>
      <c r="AS84" s="663">
        <v>4667.4752102121438</v>
      </c>
      <c r="AT84" s="653">
        <v>4667.4752102121438</v>
      </c>
      <c r="AU84" s="661">
        <f>AI$44</f>
        <v>67031.631929099676</v>
      </c>
      <c r="AV84" s="20">
        <v>67031.631929099676</v>
      </c>
      <c r="AW84" s="660">
        <v>67031.631929099676</v>
      </c>
      <c r="AY84" s="655" t="s">
        <v>241</v>
      </c>
      <c r="AZ84" s="91"/>
      <c r="BA84" s="32"/>
      <c r="BB84" s="32"/>
      <c r="BC84" s="32"/>
      <c r="BD84" s="657"/>
      <c r="BE84" s="655"/>
      <c r="BF84" s="655"/>
      <c r="BG84" s="655"/>
      <c r="BH84" s="655"/>
      <c r="BI84" s="655"/>
      <c r="BJ84" s="655"/>
      <c r="BK84" s="659"/>
      <c r="BL84" s="710"/>
      <c r="BM84" s="766"/>
      <c r="BN84" s="692"/>
      <c r="BO84" s="32"/>
      <c r="BP84" s="32"/>
      <c r="BR84" s="892"/>
      <c r="BS84" s="683" t="str">
        <f t="shared" si="216"/>
        <v>BEV240</v>
      </c>
      <c r="BT84" s="768">
        <f t="shared" si="217"/>
        <v>67031.631929099676</v>
      </c>
      <c r="BU84" s="768">
        <f t="shared" si="218"/>
        <v>67031.631929099676</v>
      </c>
      <c r="BV84" s="768">
        <f t="shared" si="219"/>
        <v>67031.631929099676</v>
      </c>
      <c r="BW84" s="687"/>
      <c r="BX84" s="767"/>
      <c r="BY84" s="767"/>
      <c r="BZ84" s="767"/>
      <c r="CA84" s="767"/>
      <c r="CB84" s="831"/>
      <c r="CC84" s="831"/>
      <c r="CD84" s="767"/>
      <c r="CE84" s="831"/>
      <c r="CF84" s="768">
        <f t="shared" si="220"/>
        <v>0</v>
      </c>
      <c r="CG84" s="768">
        <f t="shared" si="221"/>
        <v>0</v>
      </c>
    </row>
    <row r="85" spans="25:85">
      <c r="AR85" s="661"/>
      <c r="AS85" s="658" t="str">
        <f>OwnershipCost!O17</f>
        <v>Min since 2008</v>
      </c>
      <c r="AT85" s="171" t="str">
        <f>OwnershipCost!O18</f>
        <v>Max since 2008</v>
      </c>
      <c r="AU85" s="662"/>
      <c r="AV85" s="653" t="str">
        <f>AS85</f>
        <v>Min since 2008</v>
      </c>
      <c r="AW85" s="664" t="str">
        <f>AT85</f>
        <v>Max since 2008</v>
      </c>
      <c r="AY85" s="890" t="s">
        <v>741</v>
      </c>
      <c r="AZ85" s="681" t="str">
        <f>AQ44</f>
        <v>CV</v>
      </c>
      <c r="BA85" s="682">
        <f t="shared" ref="BA85:BA89" si="224">AR44</f>
        <v>4801.5346124455709</v>
      </c>
      <c r="BB85" s="682">
        <f t="shared" ref="BB85:BB89" si="225">AS44</f>
        <v>4346.5847286131839</v>
      </c>
      <c r="BC85" s="682">
        <f t="shared" ref="BC85:BC89" si="226">AT44</f>
        <v>5057.6707581554147</v>
      </c>
      <c r="BD85" s="685"/>
      <c r="BE85" s="666"/>
      <c r="BF85" s="666"/>
      <c r="BG85" s="666"/>
      <c r="BH85" s="666"/>
      <c r="BI85" s="666"/>
      <c r="BJ85" s="666"/>
      <c r="BK85" s="686"/>
      <c r="BL85" s="685"/>
      <c r="BM85" s="770"/>
      <c r="BN85" s="686"/>
      <c r="BO85" s="682">
        <f>BA85-BB85</f>
        <v>454.94988383238706</v>
      </c>
      <c r="BP85" s="682">
        <f>BC85-BA85</f>
        <v>256.13614570984373</v>
      </c>
      <c r="BR85" s="766" t="s">
        <v>241</v>
      </c>
      <c r="BS85" s="91"/>
      <c r="BT85" s="769"/>
      <c r="BU85" s="769"/>
      <c r="BV85" s="769"/>
      <c r="BW85" s="710"/>
      <c r="BX85" s="766"/>
      <c r="BY85" s="766"/>
      <c r="BZ85" s="766"/>
      <c r="CA85" s="766"/>
      <c r="CB85" s="830"/>
      <c r="CC85" s="830"/>
      <c r="CD85" s="766"/>
      <c r="CE85" s="830"/>
      <c r="CF85" s="769"/>
      <c r="CG85" s="769"/>
    </row>
    <row r="86" spans="25:85">
      <c r="AP86" s="893" t="s">
        <v>704</v>
      </c>
      <c r="AQ86" s="652" t="str">
        <f t="shared" ref="AQ86:AQ90" si="227">AQ74</f>
        <v>CV</v>
      </c>
      <c r="AR86" s="705">
        <f>$AK$23</f>
        <v>4801.5346124455709</v>
      </c>
      <c r="AS86" s="703">
        <f t="dataTable" ref="AS86:AT90" dt2D="0" dtr="1" r1="B23" ca="1"/>
        <v>4801.5346124455709</v>
      </c>
      <c r="AT86" s="652">
        <v>4801.5346124455709</v>
      </c>
      <c r="AU86" s="661">
        <f>AI$40</f>
        <v>44587.220125613137</v>
      </c>
      <c r="AV86" s="20">
        <f t="dataTable" ref="AV86:AW90" dt2D="0" dtr="1" r1="B23" ca="1"/>
        <v>44587.220125613137</v>
      </c>
      <c r="AW86" s="660">
        <v>44587.220125613137</v>
      </c>
      <c r="AY86" s="891"/>
      <c r="AZ86" s="91" t="str">
        <f t="shared" ref="AZ86:AZ89" si="228">AQ45</f>
        <v>HEV</v>
      </c>
      <c r="BA86" s="32">
        <f t="shared" si="224"/>
        <v>3910.2272578777161</v>
      </c>
      <c r="BB86" s="32">
        <f t="shared" si="225"/>
        <v>3385.4386111494719</v>
      </c>
      <c r="BC86" s="32">
        <f t="shared" si="226"/>
        <v>4229.8424219808803</v>
      </c>
      <c r="BD86" s="657"/>
      <c r="BE86" s="655"/>
      <c r="BF86" s="655"/>
      <c r="BG86" s="655"/>
      <c r="BH86" s="655"/>
      <c r="BI86" s="655"/>
      <c r="BJ86" s="655"/>
      <c r="BK86" s="659"/>
      <c r="BL86" s="710"/>
      <c r="BM86" s="766"/>
      <c r="BN86" s="692"/>
      <c r="BO86" s="32">
        <f>BA86-BB86</f>
        <v>524.7886467282442</v>
      </c>
      <c r="BP86" s="32">
        <f>BC86-BA86</f>
        <v>319.61516410316426</v>
      </c>
      <c r="BR86" s="890" t="s">
        <v>699</v>
      </c>
      <c r="BS86" s="681" t="str">
        <f>AQ116</f>
        <v>CV</v>
      </c>
      <c r="BT86" s="682">
        <f>AU116</f>
        <v>44587.220125613137</v>
      </c>
      <c r="BU86" s="682">
        <f t="shared" ref="BU86:BU90" si="229">AV116</f>
        <v>51476.935534008437</v>
      </c>
      <c r="BV86" s="682">
        <f t="shared" ref="BV86:BV90" si="230">AW116</f>
        <v>35869.265061333885</v>
      </c>
      <c r="BW86" s="685"/>
      <c r="BX86" s="752"/>
      <c r="BY86" s="752"/>
      <c r="BZ86" s="752"/>
      <c r="CA86" s="752"/>
      <c r="CB86" s="817"/>
      <c r="CC86" s="817"/>
      <c r="CD86" s="752"/>
      <c r="CE86" s="817"/>
      <c r="CF86" s="682">
        <f>BT86-BU86</f>
        <v>-6889.7154083952992</v>
      </c>
      <c r="CG86" s="682">
        <f>BV86-BT86</f>
        <v>-8717.9550642792528</v>
      </c>
    </row>
    <row r="87" spans="25:85">
      <c r="AP87" s="894"/>
      <c r="AQ87" s="20" t="str">
        <f t="shared" si="227"/>
        <v>HEV</v>
      </c>
      <c r="AR87" s="661">
        <f>$AK$24</f>
        <v>3910.2272578777161</v>
      </c>
      <c r="AS87" s="658">
        <v>3910.2272578777161</v>
      </c>
      <c r="AT87" s="20">
        <v>3910.2272578777161</v>
      </c>
      <c r="AU87" s="661">
        <f>AI$41</f>
        <v>43587.2467938478</v>
      </c>
      <c r="AV87" s="20">
        <v>43587.2467938478</v>
      </c>
      <c r="AW87" s="660">
        <v>43587.2467938478</v>
      </c>
      <c r="AY87" s="891"/>
      <c r="AZ87" s="91" t="str">
        <f t="shared" si="228"/>
        <v>PHEV20</v>
      </c>
      <c r="BA87" s="32">
        <f t="shared" si="224"/>
        <v>3632.7889258841947</v>
      </c>
      <c r="BB87" s="32">
        <f t="shared" si="225"/>
        <v>3101.6991904717188</v>
      </c>
      <c r="BC87" s="32">
        <f t="shared" si="226"/>
        <v>3911.5632896359066</v>
      </c>
      <c r="BD87" s="657"/>
      <c r="BE87" s="655"/>
      <c r="BF87" s="655"/>
      <c r="BG87" s="655"/>
      <c r="BH87" s="655"/>
      <c r="BI87" s="655"/>
      <c r="BJ87" s="655"/>
      <c r="BK87" s="659"/>
      <c r="BL87" s="710"/>
      <c r="BM87" s="766"/>
      <c r="BN87" s="692"/>
      <c r="BO87" s="32">
        <f>BA87-BB87</f>
        <v>531.08973541247587</v>
      </c>
      <c r="BP87" s="32">
        <f>BC87-BA87</f>
        <v>278.77436375171192</v>
      </c>
      <c r="BR87" s="891"/>
      <c r="BS87" s="91" t="str">
        <f t="shared" ref="BS87:BS90" si="231">AQ117</f>
        <v>HEV</v>
      </c>
      <c r="BT87" s="751">
        <f t="shared" ref="BT87:BT90" si="232">AU117</f>
        <v>43587.2467938478</v>
      </c>
      <c r="BU87" s="751">
        <f t="shared" si="229"/>
        <v>48813.183427125237</v>
      </c>
      <c r="BV87" s="751">
        <f t="shared" si="230"/>
        <v>36970.290732760877</v>
      </c>
      <c r="BW87" s="710"/>
      <c r="BX87" s="748"/>
      <c r="BY87" s="748"/>
      <c r="BZ87" s="748"/>
      <c r="CA87" s="748"/>
      <c r="CB87" s="830"/>
      <c r="CC87" s="830"/>
      <c r="CD87" s="748"/>
      <c r="CE87" s="830"/>
      <c r="CF87" s="751">
        <f>BT87-BU87</f>
        <v>-5225.9366332774371</v>
      </c>
      <c r="CG87" s="751">
        <f>BV87-BT87</f>
        <v>-6616.956061086923</v>
      </c>
    </row>
    <row r="88" spans="25:85">
      <c r="AP88" s="894"/>
      <c r="AQ88" s="20" t="str">
        <f t="shared" si="227"/>
        <v>PHEV20</v>
      </c>
      <c r="AR88" s="661">
        <f>$AK$25</f>
        <v>3632.7889258841947</v>
      </c>
      <c r="AS88" s="658">
        <v>3632.7889258841947</v>
      </c>
      <c r="AT88" s="20">
        <v>3632.7889258841947</v>
      </c>
      <c r="AU88" s="661">
        <f>AI$42</f>
        <v>44342.078748103791</v>
      </c>
      <c r="AV88" s="20">
        <v>44257.076472935325</v>
      </c>
      <c r="AW88" s="660">
        <v>44389.294277529014</v>
      </c>
      <c r="AY88" s="891"/>
      <c r="AZ88" s="91" t="str">
        <f t="shared" si="228"/>
        <v>PHEV60</v>
      </c>
      <c r="BA88" s="32">
        <f t="shared" si="224"/>
        <v>4145.8901532997616</v>
      </c>
      <c r="BB88" s="32">
        <f t="shared" si="225"/>
        <v>3446.9939237598987</v>
      </c>
      <c r="BC88" s="32">
        <f t="shared" si="226"/>
        <v>4505.912524457849</v>
      </c>
      <c r="BD88" s="657"/>
      <c r="BE88" s="655"/>
      <c r="BF88" s="655"/>
      <c r="BG88" s="655"/>
      <c r="BH88" s="655"/>
      <c r="BI88" s="655"/>
      <c r="BJ88" s="655"/>
      <c r="BK88" s="659"/>
      <c r="BL88" s="710"/>
      <c r="BM88" s="766"/>
      <c r="BN88" s="692"/>
      <c r="BO88" s="32">
        <f>BA88-BB88</f>
        <v>698.89622953986282</v>
      </c>
      <c r="BP88" s="32">
        <f>BC88-BA88</f>
        <v>360.02237115808748</v>
      </c>
      <c r="BR88" s="891"/>
      <c r="BS88" s="91" t="str">
        <f t="shared" si="231"/>
        <v>PHEV20</v>
      </c>
      <c r="BT88" s="751">
        <f t="shared" si="232"/>
        <v>44342.078748103791</v>
      </c>
      <c r="BU88" s="751">
        <f t="shared" si="229"/>
        <v>48938.095649072944</v>
      </c>
      <c r="BV88" s="751">
        <f t="shared" si="230"/>
        <v>38524.402847585843</v>
      </c>
      <c r="BW88" s="710"/>
      <c r="BX88" s="748"/>
      <c r="BY88" s="748"/>
      <c r="BZ88" s="748"/>
      <c r="CA88" s="748"/>
      <c r="CB88" s="830"/>
      <c r="CC88" s="830"/>
      <c r="CD88" s="748"/>
      <c r="CE88" s="830"/>
      <c r="CF88" s="751">
        <f>BT88-BU88</f>
        <v>-4596.0169009691526</v>
      </c>
      <c r="CG88" s="751">
        <f>BV88-BT88</f>
        <v>-5817.6759005179483</v>
      </c>
    </row>
    <row r="89" spans="25:85">
      <c r="AP89" s="894"/>
      <c r="AQ89" s="20" t="str">
        <f t="shared" si="227"/>
        <v>PHEV60</v>
      </c>
      <c r="AR89" s="661">
        <f>$AK$26</f>
        <v>4145.8901532997616</v>
      </c>
      <c r="AS89" s="658">
        <v>4145.8901532997616</v>
      </c>
      <c r="AT89" s="20">
        <v>4145.8901532997616</v>
      </c>
      <c r="AU89" s="661">
        <f>AI$43</f>
        <v>52780.398428948298</v>
      </c>
      <c r="AV89" s="20">
        <v>52530.644656129596</v>
      </c>
      <c r="AW89" s="660">
        <v>52919.127146340987</v>
      </c>
      <c r="AY89" s="892"/>
      <c r="AZ89" s="683" t="str">
        <f t="shared" si="228"/>
        <v>BEV240</v>
      </c>
      <c r="BA89" s="28">
        <f t="shared" si="224"/>
        <v>4667.4752102121438</v>
      </c>
      <c r="BB89" s="28">
        <f t="shared" si="225"/>
        <v>3223.0175744418361</v>
      </c>
      <c r="BC89" s="28">
        <f t="shared" si="226"/>
        <v>5388.4810997395098</v>
      </c>
      <c r="BD89" s="687"/>
      <c r="BE89" s="656"/>
      <c r="BF89" s="656"/>
      <c r="BG89" s="656"/>
      <c r="BH89" s="656"/>
      <c r="BI89" s="656"/>
      <c r="BJ89" s="656"/>
      <c r="BK89" s="688"/>
      <c r="BL89" s="687"/>
      <c r="BM89" s="767"/>
      <c r="BN89" s="688"/>
      <c r="BO89" s="28">
        <f>BA89-BB89</f>
        <v>1444.4576357703077</v>
      </c>
      <c r="BP89" s="28">
        <f>BC89-BA89</f>
        <v>721.00588952736598</v>
      </c>
      <c r="BR89" s="891"/>
      <c r="BS89" s="91" t="str">
        <f t="shared" si="231"/>
        <v>PHEV60</v>
      </c>
      <c r="BT89" s="751">
        <f t="shared" si="232"/>
        <v>52780.398428948298</v>
      </c>
      <c r="BU89" s="751">
        <f t="shared" si="229"/>
        <v>57624.743490308982</v>
      </c>
      <c r="BV89" s="751">
        <f t="shared" si="230"/>
        <v>46649.534776695356</v>
      </c>
      <c r="BW89" s="710"/>
      <c r="BX89" s="748"/>
      <c r="BY89" s="748"/>
      <c r="BZ89" s="748"/>
      <c r="CA89" s="748"/>
      <c r="CB89" s="830"/>
      <c r="CC89" s="830"/>
      <c r="CD89" s="748"/>
      <c r="CE89" s="830"/>
      <c r="CF89" s="751">
        <f>BT89-BU89</f>
        <v>-4844.3450613606838</v>
      </c>
      <c r="CG89" s="751">
        <f>BV89-BT89</f>
        <v>-6130.8636522529414</v>
      </c>
    </row>
    <row r="90" spans="25:85" ht="12.75" customHeight="1">
      <c r="AP90" s="895"/>
      <c r="AQ90" s="653" t="str">
        <f t="shared" si="227"/>
        <v>BEV240</v>
      </c>
      <c r="AR90" s="662">
        <f>$AK$27</f>
        <v>4667.4752102121438</v>
      </c>
      <c r="AS90" s="663">
        <v>4667.4752102121438</v>
      </c>
      <c r="AT90" s="653">
        <v>4667.4752102121438</v>
      </c>
      <c r="AU90" s="661">
        <f>AI$44</f>
        <v>67031.631929099676</v>
      </c>
      <c r="AV90" s="20">
        <v>66461.593895682978</v>
      </c>
      <c r="AW90" s="660">
        <v>67348.266366083175</v>
      </c>
      <c r="AY90" s="655" t="s">
        <v>241</v>
      </c>
      <c r="AZ90" s="91"/>
      <c r="BA90" s="32"/>
      <c r="BB90" s="32"/>
      <c r="BC90" s="32"/>
      <c r="BD90" s="657"/>
      <c r="BE90" s="655"/>
      <c r="BF90" s="655"/>
      <c r="BG90" s="655"/>
      <c r="BH90" s="655"/>
      <c r="BI90" s="655"/>
      <c r="BJ90" s="655"/>
      <c r="BK90" s="659"/>
      <c r="BL90" s="710"/>
      <c r="BM90" s="766"/>
      <c r="BN90" s="692"/>
      <c r="BO90" s="32"/>
      <c r="BP90" s="32"/>
      <c r="BR90" s="892"/>
      <c r="BS90" s="683" t="str">
        <f t="shared" si="231"/>
        <v>BEV240</v>
      </c>
      <c r="BT90" s="750">
        <f t="shared" si="232"/>
        <v>67031.631929099676</v>
      </c>
      <c r="BU90" s="750">
        <f t="shared" si="229"/>
        <v>70195.564248136798</v>
      </c>
      <c r="BV90" s="750">
        <f t="shared" si="230"/>
        <v>63041.321416491315</v>
      </c>
      <c r="BW90" s="687"/>
      <c r="BX90" s="749"/>
      <c r="BY90" s="749"/>
      <c r="BZ90" s="749"/>
      <c r="CA90" s="749"/>
      <c r="CB90" s="831"/>
      <c r="CC90" s="831"/>
      <c r="CD90" s="749"/>
      <c r="CE90" s="831"/>
      <c r="CF90" s="750">
        <f>BT90-BU90</f>
        <v>-3163.9323190371215</v>
      </c>
      <c r="CG90" s="750">
        <f>BV90-BT90</f>
        <v>-3990.310512608361</v>
      </c>
    </row>
    <row r="91" spans="25:85">
      <c r="AR91" s="661"/>
      <c r="AS91" s="658" t="str">
        <f>Valuation!B5</f>
        <v>Low</v>
      </c>
      <c r="AT91" s="171" t="str">
        <f>Valuation!B7</f>
        <v>High</v>
      </c>
      <c r="AU91" s="662"/>
      <c r="AV91" s="653" t="str">
        <f>AS91</f>
        <v>Low</v>
      </c>
      <c r="AW91" s="664" t="str">
        <f>AT91</f>
        <v>High</v>
      </c>
      <c r="AY91" s="890" t="s">
        <v>743</v>
      </c>
      <c r="AZ91" s="681" t="str">
        <f>AQ50</f>
        <v>CV</v>
      </c>
      <c r="BA91" s="682">
        <f t="shared" ref="BA91:BA95" si="233">AR50</f>
        <v>4801.5346124455709</v>
      </c>
      <c r="BB91" s="682">
        <f t="shared" ref="BB91:BB95" si="234">AS50</f>
        <v>4565.9505803366592</v>
      </c>
      <c r="BC91" s="682">
        <f t="shared" ref="BC91:BC95" si="235">AT50</f>
        <v>4966.0884432687744</v>
      </c>
      <c r="BD91" s="685"/>
      <c r="BE91" s="666"/>
      <c r="BF91" s="666"/>
      <c r="BG91" s="666"/>
      <c r="BH91" s="666"/>
      <c r="BI91" s="666"/>
      <c r="BJ91" s="666"/>
      <c r="BK91" s="686"/>
      <c r="BL91" s="685"/>
      <c r="BM91" s="770"/>
      <c r="BN91" s="686"/>
      <c r="BO91" s="682">
        <f>BA91-BB91</f>
        <v>235.58403210891174</v>
      </c>
      <c r="BP91" s="682">
        <f>BC91-BA91</f>
        <v>164.5538308232035</v>
      </c>
      <c r="BR91" s="748" t="s">
        <v>241</v>
      </c>
      <c r="BS91" s="91"/>
      <c r="BT91" s="751"/>
      <c r="BU91" s="751"/>
      <c r="BV91" s="751"/>
      <c r="BW91" s="710"/>
      <c r="BX91" s="748"/>
      <c r="BY91" s="748"/>
      <c r="BZ91" s="748"/>
      <c r="CA91" s="748"/>
      <c r="CB91" s="830"/>
      <c r="CC91" s="830"/>
      <c r="CD91" s="748"/>
      <c r="CE91" s="830"/>
      <c r="CF91" s="751"/>
      <c r="CG91" s="751"/>
    </row>
    <row r="92" spans="25:85">
      <c r="AP92" s="893" t="s">
        <v>570</v>
      </c>
      <c r="AQ92" s="652" t="str">
        <f t="shared" ref="AQ92:AQ96" si="236">AQ56</f>
        <v>CV</v>
      </c>
      <c r="AR92" s="705">
        <f>$AK$23</f>
        <v>4801.5346124455709</v>
      </c>
      <c r="AS92" s="703">
        <f t="dataTable" ref="AS92:AT96" dt2D="0" dtr="1" r1="B28" ca="1"/>
        <v>3451.7073060734569</v>
      </c>
      <c r="AT92" s="652">
        <v>9525.930184747971</v>
      </c>
      <c r="AU92" s="661">
        <f>AI$40</f>
        <v>44587.220125613137</v>
      </c>
      <c r="AV92" s="20">
        <f t="dataTable" ref="AV92:AW96" dt2D="0" dtr="1" r1="B28" ca="1"/>
        <v>43237.392819241024</v>
      </c>
      <c r="AW92" s="660">
        <v>49311.615697915542</v>
      </c>
      <c r="AY92" s="891"/>
      <c r="AZ92" s="91" t="str">
        <f t="shared" ref="AZ92:AZ95" si="237">AQ51</f>
        <v>HEV</v>
      </c>
      <c r="BA92" s="32">
        <f t="shared" si="233"/>
        <v>3910.2272578777161</v>
      </c>
      <c r="BB92" s="32">
        <f t="shared" si="234"/>
        <v>3652.928316409148</v>
      </c>
      <c r="BC92" s="32">
        <f t="shared" si="235"/>
        <v>4090.019144707901</v>
      </c>
      <c r="BD92" s="657"/>
      <c r="BE92" s="655"/>
      <c r="BF92" s="655"/>
      <c r="BG92" s="655"/>
      <c r="BH92" s="655"/>
      <c r="BI92" s="655"/>
      <c r="BJ92" s="655"/>
      <c r="BK92" s="659"/>
      <c r="BL92" s="710"/>
      <c r="BM92" s="766"/>
      <c r="BN92" s="692"/>
      <c r="BO92" s="32">
        <f>BA92-BB92</f>
        <v>257.29894146856805</v>
      </c>
      <c r="BP92" s="32">
        <f>BC92-BA92</f>
        <v>179.79188683018492</v>
      </c>
      <c r="BR92" s="707"/>
      <c r="BS92" s="32"/>
      <c r="BT92" s="32"/>
      <c r="BU92" s="32"/>
      <c r="BV92" s="32"/>
      <c r="BW92" s="707"/>
      <c r="BX92" s="707"/>
      <c r="BY92" s="707"/>
      <c r="BZ92" s="707"/>
      <c r="CA92" s="707"/>
      <c r="CB92" s="830"/>
      <c r="CC92" s="830"/>
      <c r="CD92" s="707"/>
      <c r="CE92" s="830"/>
      <c r="CF92" s="32"/>
      <c r="CG92" s="32"/>
    </row>
    <row r="93" spans="25:85">
      <c r="AP93" s="894"/>
      <c r="AQ93" s="20" t="str">
        <f t="shared" si="236"/>
        <v>HEV</v>
      </c>
      <c r="AR93" s="661">
        <f>$AK$24</f>
        <v>3910.2272578777161</v>
      </c>
      <c r="AS93" s="658">
        <v>2887.9448650701861</v>
      </c>
      <c r="AT93" s="20">
        <v>7488.215632704072</v>
      </c>
      <c r="AU93" s="661">
        <f>AI$41</f>
        <v>43587.2467938478</v>
      </c>
      <c r="AV93" s="20">
        <v>42564.96440104027</v>
      </c>
      <c r="AW93" s="660">
        <v>47165.23516867416</v>
      </c>
      <c r="AY93" s="891"/>
      <c r="AZ93" s="91" t="str">
        <f t="shared" si="237"/>
        <v>PHEV20</v>
      </c>
      <c r="BA93" s="32">
        <f t="shared" si="233"/>
        <v>3632.7889258841947</v>
      </c>
      <c r="BB93" s="32">
        <f t="shared" si="234"/>
        <v>3355.4561812272536</v>
      </c>
      <c r="BC93" s="32">
        <f t="shared" si="235"/>
        <v>3826.637975179543</v>
      </c>
      <c r="BD93" s="657"/>
      <c r="BE93" s="655"/>
      <c r="BF93" s="655"/>
      <c r="BG93" s="655"/>
      <c r="BH93" s="655"/>
      <c r="BI93" s="655"/>
      <c r="BJ93" s="655"/>
      <c r="BK93" s="659"/>
      <c r="BL93" s="710"/>
      <c r="BM93" s="766"/>
      <c r="BN93" s="692"/>
      <c r="BO93" s="32">
        <f>BA93-BB93</f>
        <v>277.33274465694103</v>
      </c>
      <c r="BP93" s="32">
        <f>BC93-BA93</f>
        <v>193.84904929534832</v>
      </c>
      <c r="BR93" s="707"/>
      <c r="BS93" s="32"/>
      <c r="BT93" s="32"/>
      <c r="BU93" s="32"/>
      <c r="BV93" s="32"/>
      <c r="BW93" s="707"/>
      <c r="BX93" s="707"/>
      <c r="BY93" s="707"/>
      <c r="BZ93" s="707"/>
      <c r="CA93" s="707"/>
      <c r="CB93" s="830"/>
      <c r="CC93" s="830"/>
      <c r="CD93" s="707"/>
      <c r="CE93" s="830"/>
      <c r="CF93" s="32"/>
      <c r="CG93" s="32"/>
    </row>
    <row r="94" spans="25:85">
      <c r="AP94" s="894"/>
      <c r="AQ94" s="20" t="str">
        <f t="shared" si="236"/>
        <v>PHEV20</v>
      </c>
      <c r="AR94" s="661">
        <f>$AK$25</f>
        <v>3632.7889258841947</v>
      </c>
      <c r="AS94" s="658">
        <v>2652.1286738568469</v>
      </c>
      <c r="AT94" s="20">
        <v>7065.099807979911</v>
      </c>
      <c r="AU94" s="661">
        <f>AI$42</f>
        <v>44342.078748103791</v>
      </c>
      <c r="AV94" s="20">
        <v>43361.418496076447</v>
      </c>
      <c r="AW94" s="660">
        <v>47774.389630199512</v>
      </c>
      <c r="AY94" s="891"/>
      <c r="AZ94" s="91" t="str">
        <f t="shared" si="237"/>
        <v>PHEV60</v>
      </c>
      <c r="BA94" s="32">
        <f t="shared" si="233"/>
        <v>4145.8901532997616</v>
      </c>
      <c r="BB94" s="32">
        <f t="shared" si="234"/>
        <v>3686.2939163660576</v>
      </c>
      <c r="BC94" s="32">
        <f t="shared" si="235"/>
        <v>4467.6323203781467</v>
      </c>
      <c r="BD94" s="657"/>
      <c r="BE94" s="655"/>
      <c r="BF94" s="655"/>
      <c r="BG94" s="655"/>
      <c r="BH94" s="655"/>
      <c r="BI94" s="655"/>
      <c r="BJ94" s="655"/>
      <c r="BK94" s="659"/>
      <c r="BL94" s="710"/>
      <c r="BM94" s="766"/>
      <c r="BN94" s="692"/>
      <c r="BO94" s="32">
        <f>BA94-BB94</f>
        <v>459.59623693370395</v>
      </c>
      <c r="BP94" s="32">
        <f>BC94-BA94</f>
        <v>321.74216707838514</v>
      </c>
    </row>
    <row r="95" spans="25:85">
      <c r="AP95" s="894"/>
      <c r="AQ95" s="20" t="str">
        <f t="shared" si="236"/>
        <v>PHEV60</v>
      </c>
      <c r="AR95" s="661">
        <f>$AK$26</f>
        <v>4145.8901532997616</v>
      </c>
      <c r="AS95" s="658">
        <v>2989.9372396261324</v>
      </c>
      <c r="AT95" s="20">
        <v>8191.7253511574654</v>
      </c>
      <c r="AU95" s="661">
        <f>AI$43</f>
        <v>52780.398428948298</v>
      </c>
      <c r="AV95" s="20">
        <v>51624.445515274667</v>
      </c>
      <c r="AW95" s="660">
        <v>56826.233626806003</v>
      </c>
      <c r="AY95" s="892"/>
      <c r="AZ95" s="683" t="str">
        <f t="shared" si="237"/>
        <v>BEV240</v>
      </c>
      <c r="BA95" s="28">
        <f t="shared" si="233"/>
        <v>4667.4752102121438</v>
      </c>
      <c r="BB95" s="28">
        <f t="shared" si="234"/>
        <v>3492.6421570654597</v>
      </c>
      <c r="BC95" s="28">
        <f t="shared" si="235"/>
        <v>5501.812417201013</v>
      </c>
      <c r="BD95" s="687"/>
      <c r="BE95" s="656"/>
      <c r="BF95" s="656"/>
      <c r="BG95" s="656"/>
      <c r="BH95" s="656"/>
      <c r="BI95" s="656"/>
      <c r="BJ95" s="656"/>
      <c r="BK95" s="688"/>
      <c r="BL95" s="687"/>
      <c r="BM95" s="767"/>
      <c r="BN95" s="688"/>
      <c r="BO95" s="28">
        <f>BA95-BB95</f>
        <v>1174.8330531466841</v>
      </c>
      <c r="BP95" s="28">
        <f>BC95-BA95</f>
        <v>834.33720698886918</v>
      </c>
    </row>
    <row r="96" spans="25:85" ht="12.75" customHeight="1">
      <c r="AP96" s="895"/>
      <c r="AQ96" s="653" t="str">
        <f t="shared" si="236"/>
        <v>BEV240</v>
      </c>
      <c r="AR96" s="662">
        <f>$AK$27</f>
        <v>4667.4752102121438</v>
      </c>
      <c r="AS96" s="663">
        <v>3451.607399994477</v>
      </c>
      <c r="AT96" s="653">
        <v>8923.0125459739793</v>
      </c>
      <c r="AU96" s="661">
        <f>AI$44</f>
        <v>67031.631929099676</v>
      </c>
      <c r="AV96" s="20">
        <v>65815.764118882013</v>
      </c>
      <c r="AW96" s="660">
        <v>71287.169264861514</v>
      </c>
      <c r="AY96" s="655" t="s">
        <v>241</v>
      </c>
      <c r="AZ96" s="91"/>
      <c r="BA96" s="32"/>
      <c r="BB96" s="32"/>
      <c r="BC96" s="32"/>
      <c r="BD96" s="657"/>
      <c r="BE96" s="655"/>
      <c r="BF96" s="655"/>
      <c r="BG96" s="655"/>
      <c r="BH96" s="655"/>
      <c r="BI96" s="655"/>
      <c r="BJ96" s="655"/>
      <c r="BK96" s="659"/>
      <c r="BL96" s="710"/>
      <c r="BM96" s="766"/>
      <c r="BN96" s="692"/>
      <c r="BO96" s="32"/>
      <c r="BP96" s="32"/>
    </row>
    <row r="97" spans="42:68">
      <c r="AQ97" s="20"/>
      <c r="AR97" s="661"/>
      <c r="AS97" s="658" t="str">
        <f>Valuation!B12</f>
        <v>Brown low (disruption)</v>
      </c>
      <c r="AT97" s="20" t="str">
        <f>Valuation!B14</f>
        <v>Brown high (disruption)</v>
      </c>
      <c r="AU97" s="662"/>
      <c r="AV97" s="653" t="str">
        <f>AS97</f>
        <v>Brown low (disruption)</v>
      </c>
      <c r="AW97" s="664" t="str">
        <f>AT97</f>
        <v>Brown high (disruption)</v>
      </c>
      <c r="AY97" s="890" t="s">
        <v>744</v>
      </c>
      <c r="AZ97" s="681" t="str">
        <f>AQ56</f>
        <v>CV</v>
      </c>
      <c r="BA97" s="682">
        <f t="shared" ref="BA97:BA101" si="238">AR56</f>
        <v>4801.5346124455709</v>
      </c>
      <c r="BB97" s="682">
        <f t="shared" ref="BB97:BB101" si="239">AS56</f>
        <v>4801.5346124455709</v>
      </c>
      <c r="BC97" s="682">
        <f t="shared" ref="BC97:BC101" si="240">AT56</f>
        <v>4281.8432748261557</v>
      </c>
      <c r="BD97" s="685"/>
      <c r="BE97" s="666"/>
      <c r="BF97" s="666"/>
      <c r="BG97" s="666"/>
      <c r="BH97" s="666"/>
      <c r="BI97" s="666"/>
      <c r="BJ97" s="666"/>
      <c r="BK97" s="686"/>
      <c r="BL97" s="685"/>
      <c r="BM97" s="770"/>
      <c r="BN97" s="686"/>
      <c r="BO97" s="682">
        <f>BA97-BB97</f>
        <v>0</v>
      </c>
      <c r="BP97" s="682">
        <f>BC97-BA97</f>
        <v>-519.69133761941521</v>
      </c>
    </row>
    <row r="98" spans="42:68">
      <c r="AP98" s="893" t="s">
        <v>700</v>
      </c>
      <c r="AQ98" s="652" t="str">
        <f t="shared" ref="AQ98:AQ114" si="241">AQ56</f>
        <v>CV</v>
      </c>
      <c r="AR98" s="705">
        <f>$AK$23</f>
        <v>4801.5346124455709</v>
      </c>
      <c r="AS98" s="703">
        <f t="dataTable" ref="AS98:AT102" dt2D="0" dtr="1" r1="B25" ca="1"/>
        <v>4465.9554895026949</v>
      </c>
      <c r="AT98" s="652">
        <v>5513.519567657454</v>
      </c>
      <c r="AU98" s="661">
        <f>AI$40</f>
        <v>44587.220125613137</v>
      </c>
      <c r="AV98" s="20">
        <f t="dataTable" ref="AV98:AW102" dt2D="0" dtr="1" r1="B25" ca="1"/>
        <v>44251.641002670258</v>
      </c>
      <c r="AW98" s="660">
        <v>45299.205080825021</v>
      </c>
      <c r="AY98" s="891"/>
      <c r="AZ98" s="91" t="str">
        <f t="shared" ref="AZ98:AZ101" si="242">AQ57</f>
        <v>HEV</v>
      </c>
      <c r="BA98" s="32">
        <f t="shared" si="238"/>
        <v>3910.2272578777161</v>
      </c>
      <c r="BB98" s="32">
        <f t="shared" si="239"/>
        <v>3910.2272578777161</v>
      </c>
      <c r="BC98" s="32">
        <f t="shared" si="240"/>
        <v>3539.2272707758125</v>
      </c>
      <c r="BD98" s="657"/>
      <c r="BE98" s="655"/>
      <c r="BF98" s="655"/>
      <c r="BG98" s="655"/>
      <c r="BH98" s="655"/>
      <c r="BI98" s="655"/>
      <c r="BJ98" s="655"/>
      <c r="BK98" s="659"/>
      <c r="BL98" s="710"/>
      <c r="BM98" s="766"/>
      <c r="BN98" s="692"/>
      <c r="BO98" s="32">
        <f>BA98-BB98</f>
        <v>0</v>
      </c>
      <c r="BP98" s="32">
        <f>BC98-BA98</f>
        <v>-370.99998710190357</v>
      </c>
    </row>
    <row r="99" spans="42:68">
      <c r="AP99" s="894"/>
      <c r="AQ99" s="20" t="str">
        <f t="shared" si="241"/>
        <v>HEV</v>
      </c>
      <c r="AR99" s="661">
        <f>$AK$24</f>
        <v>3910.2272578777161</v>
      </c>
      <c r="AS99" s="658">
        <v>3670.5278843470901</v>
      </c>
      <c r="AT99" s="20">
        <v>4418.7879401719183</v>
      </c>
      <c r="AU99" s="661">
        <f>AI$41</f>
        <v>43587.2467938478</v>
      </c>
      <c r="AV99" s="20">
        <v>43347.547420317176</v>
      </c>
      <c r="AW99" s="660">
        <v>44095.807476142007</v>
      </c>
      <c r="AY99" s="891"/>
      <c r="AZ99" s="91" t="str">
        <f t="shared" si="242"/>
        <v>PHEV20</v>
      </c>
      <c r="BA99" s="32">
        <f t="shared" si="238"/>
        <v>3632.7889258841947</v>
      </c>
      <c r="BB99" s="32">
        <f t="shared" si="239"/>
        <v>3632.7889258841947</v>
      </c>
      <c r="BC99" s="32">
        <f t="shared" si="240"/>
        <v>3244.6460654505472</v>
      </c>
      <c r="BD99" s="657"/>
      <c r="BE99" s="655"/>
      <c r="BF99" s="655"/>
      <c r="BG99" s="655"/>
      <c r="BH99" s="655"/>
      <c r="BI99" s="655"/>
      <c r="BJ99" s="655"/>
      <c r="BK99" s="659"/>
      <c r="BL99" s="710"/>
      <c r="BM99" s="766"/>
      <c r="BN99" s="692"/>
      <c r="BO99" s="32">
        <f>BA99-BB99</f>
        <v>0</v>
      </c>
      <c r="BP99" s="32">
        <f>BC99-BA99</f>
        <v>-388.14286043364746</v>
      </c>
    </row>
    <row r="100" spans="42:68">
      <c r="AP100" s="894"/>
      <c r="AQ100" s="20" t="str">
        <f t="shared" si="241"/>
        <v>PHEV20</v>
      </c>
      <c r="AR100" s="661">
        <f>$AK$25</f>
        <v>3632.7889258841947</v>
      </c>
      <c r="AS100" s="658">
        <v>3438.0164165500128</v>
      </c>
      <c r="AT100" s="20">
        <v>4046.0300569732985</v>
      </c>
      <c r="AU100" s="661">
        <f>AI$42</f>
        <v>44342.078748103791</v>
      </c>
      <c r="AV100" s="20">
        <v>44147.306238769612</v>
      </c>
      <c r="AW100" s="660">
        <v>44755.319879192895</v>
      </c>
      <c r="AY100" s="891"/>
      <c r="AZ100" s="91" t="str">
        <f t="shared" si="242"/>
        <v>PHEV60</v>
      </c>
      <c r="BA100" s="32">
        <f t="shared" si="238"/>
        <v>4145.8901532997616</v>
      </c>
      <c r="BB100" s="32">
        <f t="shared" si="239"/>
        <v>4145.8901532997616</v>
      </c>
      <c r="BC100" s="32">
        <f t="shared" si="240"/>
        <v>3731.5071096440442</v>
      </c>
      <c r="BD100" s="657"/>
      <c r="BE100" s="655"/>
      <c r="BF100" s="655"/>
      <c r="BG100" s="655"/>
      <c r="BH100" s="655"/>
      <c r="BI100" s="655"/>
      <c r="BJ100" s="655"/>
      <c r="BK100" s="659"/>
      <c r="BL100" s="710"/>
      <c r="BM100" s="766"/>
      <c r="BN100" s="692"/>
      <c r="BO100" s="32">
        <f>BA100-BB100</f>
        <v>0</v>
      </c>
      <c r="BP100" s="32">
        <f>BC100-BA100</f>
        <v>-414.3830436557173</v>
      </c>
    </row>
    <row r="101" spans="42:68">
      <c r="AP101" s="894"/>
      <c r="AQ101" s="20" t="str">
        <f t="shared" si="241"/>
        <v>PHEV60</v>
      </c>
      <c r="AR101" s="661">
        <f>$AK$26</f>
        <v>4145.8901532997616</v>
      </c>
      <c r="AS101" s="658">
        <v>3977.1983101131086</v>
      </c>
      <c r="AT101" s="20">
        <v>4503.7969663415979</v>
      </c>
      <c r="AU101" s="661">
        <f>AI$43</f>
        <v>52780.398428948298</v>
      </c>
      <c r="AV101" s="20">
        <v>52611.70658576164</v>
      </c>
      <c r="AW101" s="660">
        <v>53138.305241990129</v>
      </c>
      <c r="AY101" s="892"/>
      <c r="AZ101" s="683" t="str">
        <f t="shared" si="242"/>
        <v>BEV240</v>
      </c>
      <c r="BA101" s="28">
        <f t="shared" si="238"/>
        <v>4667.4752102121438</v>
      </c>
      <c r="BB101" s="28">
        <f t="shared" si="239"/>
        <v>4667.4752102121438</v>
      </c>
      <c r="BC101" s="28">
        <f t="shared" si="240"/>
        <v>4297.1201430777919</v>
      </c>
      <c r="BD101" s="687"/>
      <c r="BE101" s="656"/>
      <c r="BF101" s="656"/>
      <c r="BG101" s="656"/>
      <c r="BH101" s="656"/>
      <c r="BI101" s="656"/>
      <c r="BJ101" s="656"/>
      <c r="BK101" s="688"/>
      <c r="BL101" s="687"/>
      <c r="BM101" s="767"/>
      <c r="BN101" s="688"/>
      <c r="BO101" s="28">
        <f>BA101-BB101</f>
        <v>0</v>
      </c>
      <c r="BP101" s="28">
        <f>BC101-BA101</f>
        <v>-370.35506713435188</v>
      </c>
    </row>
    <row r="102" spans="42:68" ht="12.75" customHeight="1">
      <c r="AP102" s="895"/>
      <c r="AQ102" s="653" t="str">
        <f t="shared" si="241"/>
        <v>BEV240</v>
      </c>
      <c r="AR102" s="662">
        <f>$AK$27</f>
        <v>4667.4752102121438</v>
      </c>
      <c r="AS102" s="663">
        <v>4667.4752102121438</v>
      </c>
      <c r="AT102" s="653">
        <v>4667.4752102121438</v>
      </c>
      <c r="AU102" s="662">
        <f>AI$44</f>
        <v>67031.631929099676</v>
      </c>
      <c r="AV102" s="653">
        <v>67031.631929099676</v>
      </c>
      <c r="AW102" s="664">
        <v>67031.631929099676</v>
      </c>
      <c r="AY102" s="655" t="s">
        <v>241</v>
      </c>
      <c r="AZ102" s="91"/>
      <c r="BA102" s="32"/>
      <c r="BB102" s="32"/>
      <c r="BC102" s="32"/>
      <c r="BD102" s="657"/>
      <c r="BE102" s="655"/>
      <c r="BF102" s="655"/>
      <c r="BG102" s="655"/>
      <c r="BH102" s="655"/>
      <c r="BI102" s="655"/>
      <c r="BJ102" s="655"/>
      <c r="BK102" s="659"/>
      <c r="BL102" s="710"/>
      <c r="BM102" s="766"/>
      <c r="BN102" s="692"/>
      <c r="BO102" s="32"/>
      <c r="BP102" s="32"/>
    </row>
    <row r="103" spans="42:68">
      <c r="AQ103" s="20"/>
      <c r="AR103" s="661"/>
      <c r="AS103" s="658" t="str">
        <f>Valuation!B22</f>
        <v>Leiby low (monopsony)</v>
      </c>
      <c r="AT103" s="20" t="str">
        <f>Valuation!B24</f>
        <v>Leiby high (monopsony)</v>
      </c>
      <c r="AU103" s="662"/>
      <c r="AV103" s="653" t="str">
        <f>AS103</f>
        <v>Leiby low (monopsony)</v>
      </c>
      <c r="AW103" s="664" t="str">
        <f>AT103</f>
        <v>Leiby high (monopsony)</v>
      </c>
      <c r="AY103" s="890" t="s">
        <v>745</v>
      </c>
      <c r="AZ103" s="681" t="str">
        <f>AQ62</f>
        <v>CV</v>
      </c>
      <c r="BA103" s="682">
        <f t="shared" ref="BA103:BA107" si="243">AR62</f>
        <v>4801.5346124455709</v>
      </c>
      <c r="BB103" s="682">
        <f t="shared" ref="BB103:BB107" si="244">AS62</f>
        <v>4801.5346124455709</v>
      </c>
      <c r="BC103" s="682">
        <f t="shared" ref="BC103:BC107" si="245">AT62</f>
        <v>4801.5346124455709</v>
      </c>
      <c r="BD103" s="685"/>
      <c r="BE103" s="666"/>
      <c r="BF103" s="666"/>
      <c r="BG103" s="666"/>
      <c r="BH103" s="666"/>
      <c r="BI103" s="666"/>
      <c r="BJ103" s="666"/>
      <c r="BK103" s="686"/>
      <c r="BL103" s="685"/>
      <c r="BM103" s="770"/>
      <c r="BN103" s="686"/>
      <c r="BO103" s="682">
        <f>BA103-BB103</f>
        <v>0</v>
      </c>
      <c r="BP103" s="682">
        <f>BC103-BA103</f>
        <v>0</v>
      </c>
    </row>
    <row r="104" spans="42:68">
      <c r="AP104" s="893" t="s">
        <v>630</v>
      </c>
      <c r="AQ104" s="652" t="str">
        <f t="shared" si="241"/>
        <v>CV</v>
      </c>
      <c r="AR104" s="705">
        <f>$AK$23</f>
        <v>4801.5346124455709</v>
      </c>
      <c r="AS104" s="703">
        <f t="dataTable" ref="AS104:AT108" dt2D="0" dtr="1" r1="B26" ca="1"/>
        <v>4243.4384168164825</v>
      </c>
      <c r="AT104" s="652">
        <v>5686.6621347287664</v>
      </c>
      <c r="AU104" s="661">
        <f>AI$40</f>
        <v>44587.220125613137</v>
      </c>
      <c r="AV104" s="20">
        <f t="dataTable" ref="AV104:AW108" dt2D="0" dtr="1" r1="B26" ca="1"/>
        <v>44029.123929984045</v>
      </c>
      <c r="AW104" s="660">
        <v>45472.347647896335</v>
      </c>
      <c r="AY104" s="891"/>
      <c r="AZ104" s="91" t="str">
        <f t="shared" ref="AZ104:AZ107" si="246">AQ63</f>
        <v>HEV</v>
      </c>
      <c r="BA104" s="32">
        <f t="shared" si="243"/>
        <v>3910.2272578777161</v>
      </c>
      <c r="BB104" s="32">
        <f t="shared" si="244"/>
        <v>3910.2272578777161</v>
      </c>
      <c r="BC104" s="32">
        <f t="shared" si="245"/>
        <v>3910.2272578777161</v>
      </c>
      <c r="BD104" s="657"/>
      <c r="BE104" s="655"/>
      <c r="BF104" s="655"/>
      <c r="BG104" s="655"/>
      <c r="BH104" s="655"/>
      <c r="BI104" s="655"/>
      <c r="BJ104" s="655"/>
      <c r="BK104" s="659"/>
      <c r="BL104" s="710"/>
      <c r="BM104" s="766"/>
      <c r="BN104" s="692"/>
      <c r="BO104" s="32">
        <f>BA104-BB104</f>
        <v>0</v>
      </c>
      <c r="BP104" s="32">
        <f>BC104-BA104</f>
        <v>0</v>
      </c>
    </row>
    <row r="105" spans="42:68">
      <c r="AP105" s="894"/>
      <c r="AQ105" s="20" t="str">
        <f t="shared" si="241"/>
        <v>HEV</v>
      </c>
      <c r="AR105" s="661">
        <f>$AK$24</f>
        <v>3910.2272578777161</v>
      </c>
      <c r="AS105" s="658">
        <v>3511.5871181426528</v>
      </c>
      <c r="AT105" s="20">
        <v>4542.4612023657128</v>
      </c>
      <c r="AU105" s="661">
        <f>AI$41</f>
        <v>43587.2467938478</v>
      </c>
      <c r="AV105" s="20">
        <v>43188.606654112737</v>
      </c>
      <c r="AW105" s="660">
        <v>44219.480738335798</v>
      </c>
      <c r="AY105" s="891"/>
      <c r="AZ105" s="91" t="str">
        <f t="shared" si="246"/>
        <v>PHEV20</v>
      </c>
      <c r="BA105" s="32">
        <f t="shared" si="243"/>
        <v>3632.7889258841947</v>
      </c>
      <c r="BB105" s="32">
        <f t="shared" si="244"/>
        <v>3721.3997336908124</v>
      </c>
      <c r="BC105" s="32">
        <f t="shared" si="245"/>
        <v>3632.7889258841947</v>
      </c>
      <c r="BD105" s="657"/>
      <c r="BE105" s="655"/>
      <c r="BF105" s="655"/>
      <c r="BG105" s="655"/>
      <c r="BH105" s="655"/>
      <c r="BI105" s="655"/>
      <c r="BJ105" s="655"/>
      <c r="BK105" s="659"/>
      <c r="BL105" s="710"/>
      <c r="BM105" s="766"/>
      <c r="BN105" s="692"/>
      <c r="BO105" s="32">
        <f>BA105-BB105</f>
        <v>-88.610807806617686</v>
      </c>
      <c r="BP105" s="32">
        <f>BC105-BA105</f>
        <v>0</v>
      </c>
    </row>
    <row r="106" spans="42:68">
      <c r="AP106" s="894"/>
      <c r="AQ106" s="20" t="str">
        <f t="shared" si="241"/>
        <v>PHEV20</v>
      </c>
      <c r="AR106" s="661">
        <f>$AK$25</f>
        <v>3632.7889258841947</v>
      </c>
      <c r="AS106" s="658">
        <v>3308.8659251943041</v>
      </c>
      <c r="AT106" s="20">
        <v>4146.5232341569754</v>
      </c>
      <c r="AU106" s="661">
        <f>AI$42</f>
        <v>44342.078748103791</v>
      </c>
      <c r="AV106" s="20">
        <v>44018.155747413904</v>
      </c>
      <c r="AW106" s="660">
        <v>44855.813056376574</v>
      </c>
      <c r="AY106" s="891"/>
      <c r="AZ106" s="91" t="str">
        <f t="shared" si="246"/>
        <v>PHEV60</v>
      </c>
      <c r="BA106" s="32">
        <f t="shared" si="243"/>
        <v>4145.8901532997616</v>
      </c>
      <c r="BB106" s="32">
        <f t="shared" si="244"/>
        <v>4449.8044436715054</v>
      </c>
      <c r="BC106" s="32">
        <f t="shared" si="245"/>
        <v>4145.8901532997616</v>
      </c>
      <c r="BD106" s="657"/>
      <c r="BE106" s="655"/>
      <c r="BF106" s="655"/>
      <c r="BG106" s="655"/>
      <c r="BH106" s="655"/>
      <c r="BI106" s="655"/>
      <c r="BJ106" s="655"/>
      <c r="BK106" s="659"/>
      <c r="BL106" s="710"/>
      <c r="BM106" s="766"/>
      <c r="BN106" s="692"/>
      <c r="BO106" s="32">
        <f>BA106-BB106</f>
        <v>-303.91429037174385</v>
      </c>
      <c r="BP106" s="32">
        <f>BC106-BA106</f>
        <v>0</v>
      </c>
    </row>
    <row r="107" spans="42:68">
      <c r="AP107" s="894"/>
      <c r="AQ107" s="20" t="str">
        <f t="shared" si="241"/>
        <v>PHEV60</v>
      </c>
      <c r="AR107" s="661">
        <f>$AK$26</f>
        <v>4145.8901532997616</v>
      </c>
      <c r="AS107" s="658">
        <v>3865.341485401384</v>
      </c>
      <c r="AT107" s="20">
        <v>4590.8337835225648</v>
      </c>
      <c r="AU107" s="661">
        <f>AI$43</f>
        <v>52780.398428948298</v>
      </c>
      <c r="AV107" s="20">
        <v>52499.849761049918</v>
      </c>
      <c r="AW107" s="660">
        <v>53225.342059171096</v>
      </c>
      <c r="AY107" s="892"/>
      <c r="AZ107" s="683" t="str">
        <f t="shared" si="246"/>
        <v>BEV240</v>
      </c>
      <c r="BA107" s="28">
        <f t="shared" si="243"/>
        <v>4667.4752102121438</v>
      </c>
      <c r="BB107" s="28">
        <f t="shared" si="244"/>
        <v>5898.1858128104841</v>
      </c>
      <c r="BC107" s="28">
        <f t="shared" si="245"/>
        <v>4667.4752102121438</v>
      </c>
      <c r="BD107" s="687"/>
      <c r="BE107" s="656"/>
      <c r="BF107" s="656"/>
      <c r="BG107" s="656"/>
      <c r="BH107" s="656"/>
      <c r="BI107" s="656"/>
      <c r="BJ107" s="656"/>
      <c r="BK107" s="688"/>
      <c r="BL107" s="687"/>
      <c r="BM107" s="767"/>
      <c r="BN107" s="688"/>
      <c r="BO107" s="28">
        <f>BA107-BB107</f>
        <v>-1230.7106025983403</v>
      </c>
      <c r="BP107" s="28">
        <f>BC107-BA107</f>
        <v>0</v>
      </c>
    </row>
    <row r="108" spans="42:68">
      <c r="AP108" s="895"/>
      <c r="AQ108" s="653" t="str">
        <f t="shared" si="241"/>
        <v>BEV240</v>
      </c>
      <c r="AR108" s="662">
        <f>$AK$27</f>
        <v>4667.4752102121438</v>
      </c>
      <c r="AS108" s="663">
        <v>4667.4752102121438</v>
      </c>
      <c r="AT108" s="653">
        <v>4667.4752102121438</v>
      </c>
      <c r="AU108" s="662">
        <f>AI$44</f>
        <v>67031.631929099676</v>
      </c>
      <c r="AV108" s="653">
        <v>67031.631929099676</v>
      </c>
      <c r="AW108" s="664">
        <v>67031.631929099676</v>
      </c>
      <c r="AY108" s="655" t="s">
        <v>241</v>
      </c>
      <c r="AZ108" s="91"/>
      <c r="BA108" s="32"/>
      <c r="BB108" s="32"/>
      <c r="BC108" s="32"/>
      <c r="BD108" s="657"/>
      <c r="BE108" s="655"/>
      <c r="BF108" s="655"/>
      <c r="BG108" s="655"/>
      <c r="BH108" s="655"/>
      <c r="BI108" s="655"/>
      <c r="BJ108" s="655"/>
      <c r="BK108" s="659"/>
      <c r="BL108" s="710"/>
      <c r="BM108" s="766"/>
      <c r="BN108" s="692"/>
      <c r="BO108" s="32"/>
      <c r="BP108" s="32"/>
    </row>
    <row r="109" spans="42:68">
      <c r="AQ109" s="20"/>
      <c r="AR109" s="661"/>
      <c r="AS109" s="658" t="str">
        <f>Valuation!B31</f>
        <v>Delucchi low</v>
      </c>
      <c r="AT109" s="20" t="str">
        <f>Valuation!B32</f>
        <v>Delucchi high</v>
      </c>
      <c r="AU109" s="662"/>
      <c r="AV109" s="653" t="str">
        <f>AS109</f>
        <v>Delucchi low</v>
      </c>
      <c r="AW109" s="664" t="str">
        <f>AT109</f>
        <v>Delucchi high</v>
      </c>
      <c r="AY109" s="890" t="s">
        <v>746</v>
      </c>
      <c r="AZ109" s="681" t="str">
        <f>AQ68</f>
        <v>CV</v>
      </c>
      <c r="BA109" s="682">
        <f t="shared" ref="BA109:BA113" si="247">AR68</f>
        <v>4801.5346124455709</v>
      </c>
      <c r="BB109" s="682">
        <f t="shared" ref="BB109:BB113" si="248">AS68</f>
        <v>4303.7869450633434</v>
      </c>
      <c r="BC109" s="682">
        <f t="shared" ref="BC109:BC113" si="249">AT68</f>
        <v>6697.6196125010074</v>
      </c>
      <c r="BD109" s="685"/>
      <c r="BE109" s="666"/>
      <c r="BF109" s="666"/>
      <c r="BG109" s="666"/>
      <c r="BH109" s="666"/>
      <c r="BI109" s="666"/>
      <c r="BJ109" s="666"/>
      <c r="BK109" s="686"/>
      <c r="BL109" s="685"/>
      <c r="BM109" s="770"/>
      <c r="BN109" s="686"/>
      <c r="BO109" s="682">
        <f>BA109-BB109</f>
        <v>497.74766738222752</v>
      </c>
      <c r="BP109" s="682">
        <f>BC109-BA109</f>
        <v>1896.0850000554365</v>
      </c>
    </row>
    <row r="110" spans="42:68" ht="12.75" customHeight="1">
      <c r="AP110" s="893" t="s">
        <v>629</v>
      </c>
      <c r="AQ110" s="652" t="str">
        <f t="shared" si="241"/>
        <v>CV</v>
      </c>
      <c r="AR110" s="705">
        <f>$AK$23</f>
        <v>4801.5346124455709</v>
      </c>
      <c r="AS110" s="703">
        <f t="dataTable" ref="AS110:AT114" dt2D="0" dtr="1" r1="B27" ca="1"/>
        <v>4801.5346124455709</v>
      </c>
      <c r="AT110" s="652">
        <v>5281.4253728426884</v>
      </c>
      <c r="AU110" s="661">
        <f>AI$40</f>
        <v>44587.220125613137</v>
      </c>
      <c r="AV110" s="20">
        <f t="dataTable" ref="AV110:AW114" dt2D="0" dtr="1" r1="B27" ca="1"/>
        <v>44587.220125613137</v>
      </c>
      <c r="AW110" s="660">
        <v>45067.110886010254</v>
      </c>
      <c r="AY110" s="891"/>
      <c r="AZ110" s="91" t="str">
        <f t="shared" ref="AZ110:AZ113" si="250">AQ69</f>
        <v>HEV</v>
      </c>
      <c r="BA110" s="32">
        <f t="shared" si="247"/>
        <v>3910.2272578777161</v>
      </c>
      <c r="BB110" s="32">
        <f t="shared" si="248"/>
        <v>3441.5908813958449</v>
      </c>
      <c r="BC110" s="32">
        <f t="shared" si="249"/>
        <v>5681.9958077039519</v>
      </c>
      <c r="BD110" s="657"/>
      <c r="BE110" s="655"/>
      <c r="BF110" s="655"/>
      <c r="BG110" s="655"/>
      <c r="BH110" s="655"/>
      <c r="BI110" s="655"/>
      <c r="BJ110" s="655"/>
      <c r="BK110" s="659"/>
      <c r="BL110" s="710"/>
      <c r="BM110" s="766"/>
      <c r="BN110" s="692"/>
      <c r="BO110" s="32">
        <f>BA110-BB110</f>
        <v>468.63637648187114</v>
      </c>
      <c r="BP110" s="32">
        <f>BC110-BA110</f>
        <v>1771.7685498262358</v>
      </c>
    </row>
    <row r="111" spans="42:68">
      <c r="AP111" s="894"/>
      <c r="AQ111" s="20" t="str">
        <f t="shared" si="241"/>
        <v>HEV</v>
      </c>
      <c r="AR111" s="661">
        <f>$AK$24</f>
        <v>3910.2272578777161</v>
      </c>
      <c r="AS111" s="658">
        <v>3910.2272578777161</v>
      </c>
      <c r="AT111" s="20">
        <v>4253.0063724470856</v>
      </c>
      <c r="AU111" s="661">
        <f>AI$41</f>
        <v>43587.2467938478</v>
      </c>
      <c r="AV111" s="20">
        <v>43587.2467938478</v>
      </c>
      <c r="AW111" s="660">
        <v>43930.02590841717</v>
      </c>
      <c r="AY111" s="891"/>
      <c r="AZ111" s="91" t="str">
        <f t="shared" si="250"/>
        <v>PHEV20</v>
      </c>
      <c r="BA111" s="32">
        <f t="shared" si="247"/>
        <v>3632.7889258841947</v>
      </c>
      <c r="BB111" s="32">
        <f t="shared" si="248"/>
        <v>3278.0495496322947</v>
      </c>
      <c r="BC111" s="32">
        <f t="shared" si="249"/>
        <v>4979.6432883898633</v>
      </c>
      <c r="BD111" s="657"/>
      <c r="BE111" s="655"/>
      <c r="BF111" s="655"/>
      <c r="BG111" s="655"/>
      <c r="BH111" s="655"/>
      <c r="BI111" s="655"/>
      <c r="BJ111" s="655"/>
      <c r="BK111" s="659"/>
      <c r="BL111" s="710"/>
      <c r="BM111" s="766"/>
      <c r="BN111" s="692"/>
      <c r="BO111" s="32">
        <f>BA111-BB111</f>
        <v>354.73937625190001</v>
      </c>
      <c r="BP111" s="32">
        <f>BC111-BA111</f>
        <v>1346.8543625056686</v>
      </c>
    </row>
    <row r="112" spans="42:68">
      <c r="AP112" s="894"/>
      <c r="AQ112" s="20" t="str">
        <f t="shared" si="241"/>
        <v>PHEV20</v>
      </c>
      <c r="AR112" s="661">
        <f>$AK$25</f>
        <v>3632.7889258841947</v>
      </c>
      <c r="AS112" s="658">
        <v>3632.7889258841947</v>
      </c>
      <c r="AT112" s="20">
        <v>3911.3209358291219</v>
      </c>
      <c r="AU112" s="661">
        <f>AI$42</f>
        <v>44342.078748103791</v>
      </c>
      <c r="AV112" s="20">
        <v>44342.078748103791</v>
      </c>
      <c r="AW112" s="660">
        <v>44620.610758048722</v>
      </c>
      <c r="AY112" s="891"/>
      <c r="AZ112" s="91" t="str">
        <f t="shared" si="250"/>
        <v>PHEV60</v>
      </c>
      <c r="BA112" s="32">
        <f t="shared" si="247"/>
        <v>4145.8901532997616</v>
      </c>
      <c r="BB112" s="32">
        <f t="shared" si="248"/>
        <v>3863.8057497200984</v>
      </c>
      <c r="BC112" s="32">
        <f t="shared" si="249"/>
        <v>5221.6914713399337</v>
      </c>
      <c r="BD112" s="657"/>
      <c r="BE112" s="655"/>
      <c r="BF112" s="655"/>
      <c r="BG112" s="655"/>
      <c r="BH112" s="655"/>
      <c r="BI112" s="655"/>
      <c r="BJ112" s="655"/>
      <c r="BK112" s="659"/>
      <c r="BL112" s="710"/>
      <c r="BM112" s="766"/>
      <c r="BN112" s="692"/>
      <c r="BO112" s="32">
        <f>BA112-BB112</f>
        <v>282.0844035796631</v>
      </c>
      <c r="BP112" s="32">
        <f>BC112-BA112</f>
        <v>1075.8013180401722</v>
      </c>
    </row>
    <row r="113" spans="42:85">
      <c r="AP113" s="894"/>
      <c r="AQ113" s="20" t="str">
        <f t="shared" si="241"/>
        <v>PHEV60</v>
      </c>
      <c r="AR113" s="661">
        <f>$AK$26</f>
        <v>4145.8901532997616</v>
      </c>
      <c r="AS113" s="658">
        <v>4145.8901532997616</v>
      </c>
      <c r="AT113" s="20">
        <v>4387.1258302683027</v>
      </c>
      <c r="AU113" s="661">
        <f>AI$43</f>
        <v>52780.398428948298</v>
      </c>
      <c r="AV113" s="20">
        <v>52780.398428948298</v>
      </c>
      <c r="AW113" s="660">
        <v>53021.634105916841</v>
      </c>
      <c r="AY113" s="892"/>
      <c r="AZ113" s="683" t="str">
        <f t="shared" si="250"/>
        <v>BEV240</v>
      </c>
      <c r="BA113" s="28">
        <f t="shared" si="247"/>
        <v>4667.4752102121438</v>
      </c>
      <c r="BB113" s="28">
        <f t="shared" si="248"/>
        <v>4600.0258722296448</v>
      </c>
      <c r="BC113" s="28">
        <f t="shared" si="249"/>
        <v>4942.5400357672734</v>
      </c>
      <c r="BD113" s="687"/>
      <c r="BE113" s="656"/>
      <c r="BF113" s="656"/>
      <c r="BG113" s="656"/>
      <c r="BH113" s="656"/>
      <c r="BI113" s="656"/>
      <c r="BJ113" s="656"/>
      <c r="BK113" s="688"/>
      <c r="BL113" s="687"/>
      <c r="BM113" s="767"/>
      <c r="BN113" s="688"/>
      <c r="BO113" s="28">
        <f>BA113-BB113</f>
        <v>67.449337982498946</v>
      </c>
      <c r="BP113" s="28">
        <f>BC113-BA113</f>
        <v>275.06482555512957</v>
      </c>
    </row>
    <row r="114" spans="42:85">
      <c r="AP114" s="895"/>
      <c r="AQ114" s="653" t="str">
        <f t="shared" si="241"/>
        <v>BEV240</v>
      </c>
      <c r="AR114" s="662">
        <f>$AK$27</f>
        <v>4667.4752102121438</v>
      </c>
      <c r="AS114" s="663">
        <v>4667.4752102121438</v>
      </c>
      <c r="AT114" s="653">
        <v>4667.4752102121438</v>
      </c>
      <c r="AU114" s="662">
        <f>AI$44</f>
        <v>67031.631929099676</v>
      </c>
      <c r="AV114" s="653">
        <v>67031.631929099676</v>
      </c>
      <c r="AW114" s="664">
        <v>67031.631929099676</v>
      </c>
      <c r="AY114" s="655" t="s">
        <v>241</v>
      </c>
      <c r="AZ114" s="91"/>
      <c r="BA114" s="32"/>
      <c r="BB114" s="32"/>
      <c r="BC114" s="32"/>
      <c r="BD114" s="657"/>
      <c r="BE114" s="655"/>
      <c r="BF114" s="655"/>
      <c r="BG114" s="655"/>
      <c r="BH114" s="655"/>
      <c r="BI114" s="655"/>
      <c r="BJ114" s="655"/>
      <c r="BK114" s="659"/>
      <c r="BL114" s="710"/>
      <c r="BM114" s="766"/>
      <c r="BN114" s="692"/>
      <c r="BO114" s="32"/>
      <c r="BP114" s="32"/>
      <c r="BR114" s="25"/>
      <c r="BS114" s="692"/>
      <c r="BT114" s="684" t="str">
        <f>BT25</f>
        <v>Base Case</v>
      </c>
      <c r="BU114" s="26" t="str">
        <f t="shared" ref="BU114:CG114" si="251">BU25</f>
        <v>Low Case</v>
      </c>
      <c r="BV114" s="26" t="str">
        <f t="shared" si="251"/>
        <v>High Case</v>
      </c>
      <c r="BW114" s="680" t="str">
        <f t="shared" si="251"/>
        <v>Base Vehicle</v>
      </c>
      <c r="BX114" s="32" t="str">
        <f t="shared" si="251"/>
        <v>Initial Battery</v>
      </c>
      <c r="BY114" s="32" t="str">
        <f t="shared" si="251"/>
        <v>Replacement Battery</v>
      </c>
      <c r="BZ114" s="32" t="str">
        <f t="shared" si="251"/>
        <v>Gasoline</v>
      </c>
      <c r="CA114" s="32" t="str">
        <f t="shared" si="251"/>
        <v>Electricity</v>
      </c>
      <c r="CB114" s="832"/>
      <c r="CC114" s="832"/>
      <c r="CD114" s="32" t="str">
        <f t="shared" si="251"/>
        <v>Air Emissions Damages</v>
      </c>
      <c r="CE114" s="832"/>
      <c r="CF114" s="26" t="str">
        <f t="shared" si="251"/>
        <v>Ebar1</v>
      </c>
      <c r="CG114" s="26" t="str">
        <f t="shared" si="251"/>
        <v>Ebar2</v>
      </c>
    </row>
    <row r="115" spans="42:85">
      <c r="AQ115" s="20"/>
      <c r="AR115" s="661"/>
      <c r="AS115" s="761">
        <v>9.9999999999999995E-8</v>
      </c>
      <c r="AT115" s="762">
        <v>0.2</v>
      </c>
      <c r="AU115" s="763"/>
      <c r="AV115" s="764">
        <v>3.0000099999999998E-2</v>
      </c>
      <c r="AW115" s="765">
        <v>0.2</v>
      </c>
      <c r="AY115" s="890" t="s">
        <v>747</v>
      </c>
      <c r="AZ115" s="681" t="str">
        <f>AQ92</f>
        <v>CV</v>
      </c>
      <c r="BA115" s="682">
        <f t="shared" ref="BA115:BA119" si="252">AR92</f>
        <v>4801.5346124455709</v>
      </c>
      <c r="BB115" s="682">
        <f t="shared" ref="BB115:BB119" si="253">AS92</f>
        <v>3451.7073060734569</v>
      </c>
      <c r="BC115" s="682">
        <f t="shared" ref="BC115:BC119" si="254">AT92</f>
        <v>9525.930184747971</v>
      </c>
      <c r="BD115" s="685"/>
      <c r="BE115" s="666"/>
      <c r="BF115" s="666"/>
      <c r="BG115" s="666"/>
      <c r="BH115" s="666"/>
      <c r="BI115" s="666"/>
      <c r="BJ115" s="666"/>
      <c r="BK115" s="686"/>
      <c r="BL115" s="685"/>
      <c r="BM115" s="770"/>
      <c r="BN115" s="686"/>
      <c r="BO115" s="682">
        <f>BA115-BB115</f>
        <v>1349.827306372114</v>
      </c>
      <c r="BP115" s="682">
        <f>BC115-BA115</f>
        <v>4724.3955723024001</v>
      </c>
      <c r="BR115" s="890" t="str">
        <f>BR26</f>
        <v xml:space="preserve">Base
Case </v>
      </c>
      <c r="BS115" s="681" t="str">
        <f>BS26</f>
        <v>CV</v>
      </c>
      <c r="BT115" s="682"/>
      <c r="BU115" s="682"/>
      <c r="BV115" s="682"/>
      <c r="BW115" s="697">
        <f t="shared" ref="BW115:CD115" si="255">BW26</f>
        <v>23019.490021615933</v>
      </c>
      <c r="BX115" s="694">
        <f t="shared" si="255"/>
        <v>0</v>
      </c>
      <c r="BY115" s="694">
        <f t="shared" si="255"/>
        <v>0</v>
      </c>
      <c r="BZ115" s="694">
        <f t="shared" si="255"/>
        <v>12386.239508244789</v>
      </c>
      <c r="CA115" s="694">
        <f t="shared" si="255"/>
        <v>0</v>
      </c>
      <c r="CB115" s="694"/>
      <c r="CC115" s="694"/>
      <c r="CD115" s="694">
        <f t="shared" si="255"/>
        <v>3517.2943095706469</v>
      </c>
      <c r="CE115" s="694"/>
      <c r="CF115" s="682"/>
      <c r="CG115" s="682"/>
    </row>
    <row r="116" spans="42:85">
      <c r="AP116" s="893" t="s">
        <v>699</v>
      </c>
      <c r="AQ116" s="652" t="str">
        <f t="shared" ref="AQ116" si="256">AQ62</f>
        <v>CV</v>
      </c>
      <c r="AR116" s="705">
        <f>$AK$23</f>
        <v>4801.5346124455709</v>
      </c>
      <c r="AS116" s="703">
        <f t="dataTable" ref="AS116:AT120" dt2D="0" dtr="1" r1="B36" ca="1"/>
        <v>7087.4846527648524</v>
      </c>
      <c r="AT116" s="652">
        <v>3214.8754220413684</v>
      </c>
      <c r="AU116" s="661">
        <f>AI$40</f>
        <v>44587.220125613137</v>
      </c>
      <c r="AV116" s="20">
        <f t="dataTable" ref="AV116:AW120" dt2D="0" dtr="1" r1="B36" ca="1"/>
        <v>51476.935534008437</v>
      </c>
      <c r="AW116" s="660">
        <v>35869.265061333885</v>
      </c>
      <c r="AY116" s="891"/>
      <c r="AZ116" s="91" t="str">
        <f t="shared" ref="AZ116:AZ119" si="257">AQ93</f>
        <v>HEV</v>
      </c>
      <c r="BA116" s="32">
        <f t="shared" si="252"/>
        <v>3910.2272578777161</v>
      </c>
      <c r="BB116" s="32">
        <f t="shared" si="253"/>
        <v>2887.9448650701861</v>
      </c>
      <c r="BC116" s="32">
        <f t="shared" si="254"/>
        <v>7488.215632704072</v>
      </c>
      <c r="BD116" s="657"/>
      <c r="BE116" s="655"/>
      <c r="BF116" s="655"/>
      <c r="BG116" s="655"/>
      <c r="BH116" s="655"/>
      <c r="BI116" s="655"/>
      <c r="BJ116" s="655"/>
      <c r="BK116" s="659"/>
      <c r="BL116" s="710"/>
      <c r="BM116" s="766"/>
      <c r="BN116" s="692"/>
      <c r="BO116" s="32">
        <f>BA116-BB116</f>
        <v>1022.28239280753</v>
      </c>
      <c r="BP116" s="32">
        <f>BC116-BA116</f>
        <v>3577.988374826356</v>
      </c>
      <c r="BR116" s="891"/>
      <c r="BS116" s="91" t="str">
        <f t="shared" ref="BS116:BS119" si="258">BS27</f>
        <v>HEV</v>
      </c>
      <c r="BT116" s="32"/>
      <c r="BU116" s="32"/>
      <c r="BV116" s="32"/>
      <c r="BW116" s="698">
        <f t="shared" ref="BW116:CD116" si="259">BW27</f>
        <v>24799.941964129226</v>
      </c>
      <c r="BX116" s="695">
        <f t="shared" si="259"/>
        <v>2067.978343167611</v>
      </c>
      <c r="BY116" s="695">
        <f t="shared" si="259"/>
        <v>0</v>
      </c>
      <c r="BZ116" s="695">
        <f t="shared" si="259"/>
        <v>8847.3139344605643</v>
      </c>
      <c r="CA116" s="695">
        <f t="shared" si="259"/>
        <v>0</v>
      </c>
      <c r="CB116" s="695"/>
      <c r="CC116" s="695"/>
      <c r="CD116" s="695">
        <f t="shared" si="259"/>
        <v>2992.9127558241985</v>
      </c>
      <c r="CE116" s="695"/>
      <c r="CF116" s="32"/>
      <c r="CG116" s="32"/>
    </row>
    <row r="117" spans="42:85">
      <c r="AP117" s="894"/>
      <c r="AQ117" s="20" t="str">
        <f t="shared" ref="AQ117" si="260">AQ63</f>
        <v>HEV</v>
      </c>
      <c r="AR117" s="661">
        <f>$AK$24</f>
        <v>3910.2272578777161</v>
      </c>
      <c r="AS117" s="658">
        <v>5612.2137721725367</v>
      </c>
      <c r="AT117" s="20">
        <v>2729.4661746202564</v>
      </c>
      <c r="AU117" s="661">
        <f>AI$41</f>
        <v>43587.2467938478</v>
      </c>
      <c r="AV117" s="20">
        <v>48813.183427125237</v>
      </c>
      <c r="AW117" s="660">
        <v>36970.290732760877</v>
      </c>
      <c r="AY117" s="891"/>
      <c r="AZ117" s="91" t="str">
        <f t="shared" si="257"/>
        <v>PHEV20</v>
      </c>
      <c r="BA117" s="32">
        <f t="shared" si="252"/>
        <v>3632.7889258841947</v>
      </c>
      <c r="BB117" s="32">
        <f t="shared" si="253"/>
        <v>2652.1286738568469</v>
      </c>
      <c r="BC117" s="32">
        <f t="shared" si="254"/>
        <v>7065.099807979911</v>
      </c>
      <c r="BD117" s="657"/>
      <c r="BE117" s="655"/>
      <c r="BF117" s="655"/>
      <c r="BG117" s="655"/>
      <c r="BH117" s="655"/>
      <c r="BI117" s="655"/>
      <c r="BJ117" s="655"/>
      <c r="BK117" s="659"/>
      <c r="BL117" s="710"/>
      <c r="BM117" s="766"/>
      <c r="BN117" s="692"/>
      <c r="BO117" s="32">
        <f>BA117-BB117</f>
        <v>980.66025202734772</v>
      </c>
      <c r="BP117" s="32">
        <f>BC117-BA117</f>
        <v>3432.3108820957164</v>
      </c>
      <c r="BR117" s="891"/>
      <c r="BS117" s="91" t="str">
        <f t="shared" si="258"/>
        <v>PHEV20</v>
      </c>
      <c r="BT117" s="32"/>
      <c r="BU117" s="32"/>
      <c r="BV117" s="32"/>
      <c r="BW117" s="698">
        <f t="shared" ref="BW117:CD117" si="261">BW28</f>
        <v>25665.680796868604</v>
      </c>
      <c r="BX117" s="695">
        <f t="shared" si="261"/>
        <v>2631.9724367587778</v>
      </c>
      <c r="BY117" s="695">
        <f t="shared" si="261"/>
        <v>0</v>
      </c>
      <c r="BZ117" s="695">
        <f t="shared" si="261"/>
        <v>7189.0614919024256</v>
      </c>
      <c r="CA117" s="695">
        <f t="shared" si="261"/>
        <v>787.62568701449754</v>
      </c>
      <c r="CB117" s="695"/>
      <c r="CC117" s="695"/>
      <c r="CD117" s="695">
        <f t="shared" si="261"/>
        <v>2887.4067215758</v>
      </c>
      <c r="CE117" s="695"/>
      <c r="CF117" s="32"/>
      <c r="CG117" s="32"/>
    </row>
    <row r="118" spans="42:85">
      <c r="AP118" s="894"/>
      <c r="AQ118" s="20" t="str">
        <f t="shared" ref="AQ118" si="262">AQ64</f>
        <v>PHEV20</v>
      </c>
      <c r="AR118" s="661">
        <f>$AK$25</f>
        <v>3632.7889258841947</v>
      </c>
      <c r="AS118" s="658">
        <v>5153.368335239531</v>
      </c>
      <c r="AT118" s="20">
        <v>2577.8798678572011</v>
      </c>
      <c r="AU118" s="661">
        <f>AI$42</f>
        <v>44342.078748103791</v>
      </c>
      <c r="AV118" s="20">
        <v>48938.095649072944</v>
      </c>
      <c r="AW118" s="660">
        <v>38524.402847585843</v>
      </c>
      <c r="AY118" s="891"/>
      <c r="AZ118" s="91" t="str">
        <f t="shared" si="257"/>
        <v>PHEV60</v>
      </c>
      <c r="BA118" s="32">
        <f t="shared" si="252"/>
        <v>4145.8901532997616</v>
      </c>
      <c r="BB118" s="32">
        <f t="shared" si="253"/>
        <v>2989.9372396261324</v>
      </c>
      <c r="BC118" s="32">
        <f t="shared" si="254"/>
        <v>8191.7253511574654</v>
      </c>
      <c r="BD118" s="657"/>
      <c r="BE118" s="655"/>
      <c r="BF118" s="655"/>
      <c r="BG118" s="655"/>
      <c r="BH118" s="655"/>
      <c r="BI118" s="655"/>
      <c r="BJ118" s="655"/>
      <c r="BK118" s="659"/>
      <c r="BL118" s="710"/>
      <c r="BM118" s="766"/>
      <c r="BN118" s="692"/>
      <c r="BO118" s="32">
        <f>BA118-BB118</f>
        <v>1155.9529136736292</v>
      </c>
      <c r="BP118" s="32">
        <f>BC118-BA118</f>
        <v>4045.8351978577039</v>
      </c>
      <c r="BR118" s="891"/>
      <c r="BS118" s="91" t="str">
        <f t="shared" si="258"/>
        <v>PHEV60</v>
      </c>
      <c r="BT118" s="32"/>
      <c r="BU118" s="32"/>
      <c r="BV118" s="32"/>
      <c r="BW118" s="698">
        <f t="shared" ref="BW118:CD118" si="263">BW29</f>
        <v>25728.873412397024</v>
      </c>
      <c r="BX118" s="695">
        <f t="shared" si="263"/>
        <v>8730.0598352515044</v>
      </c>
      <c r="BY118" s="695">
        <f t="shared" si="263"/>
        <v>0</v>
      </c>
      <c r="BZ118" s="695">
        <f t="shared" si="263"/>
        <v>6226.4230100894329</v>
      </c>
      <c r="CA118" s="695">
        <f t="shared" si="263"/>
        <v>2314.2026082352727</v>
      </c>
      <c r="CB118" s="695"/>
      <c r="CC118" s="695"/>
      <c r="CD118" s="695">
        <f t="shared" si="263"/>
        <v>3500.3170262031931</v>
      </c>
      <c r="CE118" s="695"/>
      <c r="CF118" s="32"/>
      <c r="CG118" s="32"/>
    </row>
    <row r="119" spans="42:85">
      <c r="AP119" s="894"/>
      <c r="AQ119" s="20" t="str">
        <f t="shared" ref="AQ119" si="264">AQ65</f>
        <v>PHEV60</v>
      </c>
      <c r="AR119" s="661">
        <f>$AK$26</f>
        <v>4145.8901532997616</v>
      </c>
      <c r="AS119" s="658">
        <v>5768.0211726338612</v>
      </c>
      <c r="AT119" s="20">
        <v>3020.529192159574</v>
      </c>
      <c r="AU119" s="661">
        <f>AI$43</f>
        <v>52780.398428948298</v>
      </c>
      <c r="AV119" s="20">
        <v>57624.743490308982</v>
      </c>
      <c r="AW119" s="660">
        <v>46649.534776695356</v>
      </c>
      <c r="AY119" s="892"/>
      <c r="AZ119" s="683" t="str">
        <f t="shared" si="257"/>
        <v>BEV240</v>
      </c>
      <c r="BA119" s="28">
        <f t="shared" si="252"/>
        <v>4667.4752102121438</v>
      </c>
      <c r="BB119" s="28">
        <f t="shared" si="253"/>
        <v>3451.607399994477</v>
      </c>
      <c r="BC119" s="28">
        <f t="shared" si="254"/>
        <v>8923.0125459739793</v>
      </c>
      <c r="BD119" s="687"/>
      <c r="BE119" s="656"/>
      <c r="BF119" s="656"/>
      <c r="BG119" s="656"/>
      <c r="BH119" s="656"/>
      <c r="BI119" s="656"/>
      <c r="BJ119" s="656"/>
      <c r="BK119" s="688"/>
      <c r="BL119" s="687"/>
      <c r="BM119" s="767"/>
      <c r="BN119" s="688"/>
      <c r="BO119" s="28">
        <f>BA119-BB119</f>
        <v>1215.8678102176668</v>
      </c>
      <c r="BP119" s="28">
        <f>BC119-BA119</f>
        <v>4255.5373357618355</v>
      </c>
      <c r="BR119" s="892"/>
      <c r="BS119" s="683" t="str">
        <f t="shared" si="258"/>
        <v>BEV240</v>
      </c>
      <c r="BT119" s="28"/>
      <c r="BU119" s="28"/>
      <c r="BV119" s="28"/>
      <c r="BW119" s="699">
        <f t="shared" ref="BW119:CD119" si="265">BW30</f>
        <v>20496.524846643686</v>
      </c>
      <c r="BX119" s="696">
        <f t="shared" si="265"/>
        <v>31953.346041946596</v>
      </c>
      <c r="BY119" s="696">
        <f t="shared" si="265"/>
        <v>0</v>
      </c>
      <c r="BZ119" s="696">
        <f t="shared" si="265"/>
        <v>0</v>
      </c>
      <c r="CA119" s="696">
        <f t="shared" si="265"/>
        <v>5281.9362399936672</v>
      </c>
      <c r="CB119" s="696"/>
      <c r="CC119" s="696"/>
      <c r="CD119" s="696">
        <f t="shared" si="265"/>
        <v>4667.4752102121438</v>
      </c>
      <c r="CE119" s="696"/>
      <c r="CF119" s="28"/>
      <c r="CG119" s="28"/>
    </row>
    <row r="120" spans="42:85">
      <c r="AP120" s="895"/>
      <c r="AQ120" s="653" t="str">
        <f t="shared" ref="AQ120" si="266">AQ66</f>
        <v>BEV240</v>
      </c>
      <c r="AR120" s="662">
        <f>$AK$27</f>
        <v>4667.4752102121438</v>
      </c>
      <c r="AS120" s="663">
        <v>5849.9642254676128</v>
      </c>
      <c r="AT120" s="653">
        <v>3868.0242980648513</v>
      </c>
      <c r="AU120" s="662">
        <f>AI$44</f>
        <v>67031.631929099676</v>
      </c>
      <c r="AV120" s="653">
        <v>70195.564248136798</v>
      </c>
      <c r="AW120" s="664">
        <v>63041.321416491315</v>
      </c>
      <c r="AY120" s="655" t="s">
        <v>241</v>
      </c>
      <c r="AZ120" s="91"/>
      <c r="BA120" s="32"/>
      <c r="BB120" s="32"/>
      <c r="BC120" s="32"/>
      <c r="BD120" s="657"/>
      <c r="BE120" s="655"/>
      <c r="BF120" s="655"/>
      <c r="BG120" s="655"/>
      <c r="BH120" s="655"/>
      <c r="BI120" s="655"/>
      <c r="BJ120" s="655"/>
      <c r="BK120" s="659"/>
      <c r="BL120" s="710"/>
      <c r="BM120" s="766"/>
      <c r="BN120" s="692"/>
      <c r="BO120" s="32"/>
      <c r="BP120" s="32"/>
      <c r="BR120" s="689" t="s">
        <v>241</v>
      </c>
      <c r="BS120" s="91"/>
      <c r="BT120" s="32"/>
      <c r="BU120" s="32"/>
      <c r="BV120" s="32"/>
      <c r="BW120" s="691"/>
      <c r="BX120" s="689"/>
      <c r="BY120" s="689"/>
      <c r="BZ120" s="689"/>
      <c r="CA120" s="689"/>
      <c r="CB120" s="830"/>
      <c r="CC120" s="830"/>
      <c r="CD120" s="689"/>
      <c r="CE120" s="830"/>
      <c r="CF120" s="32"/>
      <c r="CG120" s="32"/>
    </row>
    <row r="121" spans="42:85">
      <c r="AY121" s="890" t="s">
        <v>748</v>
      </c>
      <c r="AZ121" s="681" t="str">
        <f>AQ98</f>
        <v>CV</v>
      </c>
      <c r="BA121" s="682">
        <f t="shared" ref="BA121:BA125" si="267">AR98</f>
        <v>4801.5346124455709</v>
      </c>
      <c r="BB121" s="682">
        <f t="shared" ref="BB121:BB125" si="268">AS98</f>
        <v>4465.9554895026949</v>
      </c>
      <c r="BC121" s="682">
        <f t="shared" ref="BC121:BC125" si="269">AT98</f>
        <v>5513.519567657454</v>
      </c>
      <c r="BD121" s="685"/>
      <c r="BE121" s="666"/>
      <c r="BF121" s="666"/>
      <c r="BG121" s="666"/>
      <c r="BH121" s="666"/>
      <c r="BI121" s="666"/>
      <c r="BJ121" s="666"/>
      <c r="BK121" s="686"/>
      <c r="BL121" s="685"/>
      <c r="BM121" s="770"/>
      <c r="BN121" s="686"/>
      <c r="BO121" s="682">
        <f>BA121-BB121</f>
        <v>335.57912294287598</v>
      </c>
      <c r="BP121" s="682">
        <f>BC121-BA121</f>
        <v>711.98495521188306</v>
      </c>
      <c r="BR121" s="890" t="str">
        <f>BR44</f>
        <v>Vehicle
Cost Cases</v>
      </c>
      <c r="BS121" s="681" t="str">
        <f>BS44</f>
        <v>CV</v>
      </c>
      <c r="BT121" s="682">
        <f t="shared" ref="BT121:BV121" si="270">BT44</f>
        <v>44587.220125613137</v>
      </c>
      <c r="BU121" s="682">
        <f t="shared" si="270"/>
        <v>44587.220125613137</v>
      </c>
      <c r="BV121" s="682">
        <f t="shared" si="270"/>
        <v>44587.74673074254</v>
      </c>
      <c r="BW121" s="697"/>
      <c r="BX121" s="694"/>
      <c r="BY121" s="694"/>
      <c r="BZ121" s="694"/>
      <c r="CA121" s="694"/>
      <c r="CB121" s="694"/>
      <c r="CC121" s="694"/>
      <c r="CD121" s="694"/>
      <c r="CE121" s="694"/>
      <c r="CF121" s="682">
        <f t="shared" ref="CF121:CG121" si="271">CF44</f>
        <v>0</v>
      </c>
      <c r="CG121" s="682">
        <f t="shared" si="271"/>
        <v>0.52660512940201443</v>
      </c>
    </row>
    <row r="122" spans="42:85">
      <c r="AY122" s="891"/>
      <c r="AZ122" s="91" t="str">
        <f t="shared" ref="AZ122:AZ125" si="272">AQ99</f>
        <v>HEV</v>
      </c>
      <c r="BA122" s="32">
        <f t="shared" si="267"/>
        <v>3910.2272578777161</v>
      </c>
      <c r="BB122" s="32">
        <f t="shared" si="268"/>
        <v>3670.5278843470901</v>
      </c>
      <c r="BC122" s="32">
        <f t="shared" si="269"/>
        <v>4418.7879401719183</v>
      </c>
      <c r="BD122" s="657"/>
      <c r="BE122" s="655"/>
      <c r="BF122" s="655"/>
      <c r="BG122" s="655"/>
      <c r="BH122" s="655"/>
      <c r="BI122" s="655"/>
      <c r="BJ122" s="655"/>
      <c r="BK122" s="659"/>
      <c r="BL122" s="710"/>
      <c r="BM122" s="766"/>
      <c r="BN122" s="692"/>
      <c r="BO122" s="32">
        <f>BA122-BB122</f>
        <v>239.69937353062596</v>
      </c>
      <c r="BP122" s="32">
        <f>BC122-BA122</f>
        <v>508.56068229420225</v>
      </c>
      <c r="BR122" s="891"/>
      <c r="BS122" s="91" t="str">
        <f t="shared" ref="BS122:BV122" si="273">BS45</f>
        <v>HEV</v>
      </c>
      <c r="BT122" s="32">
        <f t="shared" si="273"/>
        <v>43587.2467938478</v>
      </c>
      <c r="BU122" s="32">
        <f t="shared" si="273"/>
        <v>43587.2467938478</v>
      </c>
      <c r="BV122" s="32">
        <f t="shared" si="273"/>
        <v>42933.72982825803</v>
      </c>
      <c r="BW122" s="698"/>
      <c r="BX122" s="695"/>
      <c r="BY122" s="695"/>
      <c r="BZ122" s="695"/>
      <c r="CA122" s="695"/>
      <c r="CB122" s="695"/>
      <c r="CC122" s="695"/>
      <c r="CD122" s="695"/>
      <c r="CE122" s="695"/>
      <c r="CF122" s="32">
        <f t="shared" ref="CF122:CG122" si="274">CF45</f>
        <v>0</v>
      </c>
      <c r="CG122" s="32">
        <f t="shared" si="274"/>
        <v>-653.51696558976982</v>
      </c>
    </row>
    <row r="123" spans="42:85">
      <c r="AY123" s="891"/>
      <c r="AZ123" s="91" t="str">
        <f t="shared" si="272"/>
        <v>PHEV20</v>
      </c>
      <c r="BA123" s="32">
        <f t="shared" si="267"/>
        <v>3632.7889258841947</v>
      </c>
      <c r="BB123" s="32">
        <f t="shared" si="268"/>
        <v>3438.0164165500128</v>
      </c>
      <c r="BC123" s="32">
        <f t="shared" si="269"/>
        <v>4046.0300569732985</v>
      </c>
      <c r="BD123" s="657"/>
      <c r="BE123" s="655"/>
      <c r="BF123" s="655"/>
      <c r="BG123" s="655"/>
      <c r="BH123" s="655"/>
      <c r="BI123" s="655"/>
      <c r="BJ123" s="655"/>
      <c r="BK123" s="659"/>
      <c r="BL123" s="710"/>
      <c r="BM123" s="766"/>
      <c r="BN123" s="692"/>
      <c r="BO123" s="32">
        <f>BA123-BB123</f>
        <v>194.7725093341819</v>
      </c>
      <c r="BP123" s="32">
        <f>BC123-BA123</f>
        <v>413.24113108910387</v>
      </c>
      <c r="BR123" s="891"/>
      <c r="BS123" s="91" t="str">
        <f t="shared" ref="BS123:BV123" si="275">BS46</f>
        <v>PHEV20</v>
      </c>
      <c r="BT123" s="32">
        <f t="shared" si="275"/>
        <v>44342.078748103791</v>
      </c>
      <c r="BU123" s="32">
        <f t="shared" si="275"/>
        <v>44342.078748103791</v>
      </c>
      <c r="BV123" s="32">
        <f t="shared" si="275"/>
        <v>42682.219380223913</v>
      </c>
      <c r="BW123" s="698"/>
      <c r="BX123" s="695"/>
      <c r="BY123" s="695"/>
      <c r="BZ123" s="695"/>
      <c r="CA123" s="695"/>
      <c r="CB123" s="695"/>
      <c r="CC123" s="695"/>
      <c r="CD123" s="695"/>
      <c r="CE123" s="695"/>
      <c r="CF123" s="32">
        <f t="shared" ref="CF123:CG123" si="276">CF46</f>
        <v>0</v>
      </c>
      <c r="CG123" s="32">
        <f t="shared" si="276"/>
        <v>-1659.8593678798788</v>
      </c>
    </row>
    <row r="124" spans="42:85">
      <c r="AY124" s="891"/>
      <c r="AZ124" s="91" t="str">
        <f t="shared" si="272"/>
        <v>PHEV60</v>
      </c>
      <c r="BA124" s="32">
        <f t="shared" si="267"/>
        <v>4145.8901532997616</v>
      </c>
      <c r="BB124" s="32">
        <f t="shared" si="268"/>
        <v>3977.1983101131086</v>
      </c>
      <c r="BC124" s="32">
        <f t="shared" si="269"/>
        <v>4503.7969663415979</v>
      </c>
      <c r="BD124" s="657"/>
      <c r="BE124" s="655"/>
      <c r="BF124" s="655"/>
      <c r="BG124" s="655"/>
      <c r="BH124" s="655"/>
      <c r="BI124" s="655"/>
      <c r="BJ124" s="655"/>
      <c r="BK124" s="659"/>
      <c r="BL124" s="710"/>
      <c r="BM124" s="766"/>
      <c r="BN124" s="692"/>
      <c r="BO124" s="32">
        <f>BA124-BB124</f>
        <v>168.69184318665293</v>
      </c>
      <c r="BP124" s="32">
        <f>BC124-BA124</f>
        <v>357.90681304183636</v>
      </c>
      <c r="BR124" s="891"/>
      <c r="BS124" s="91" t="str">
        <f t="shared" ref="BS124:BV124" si="277">BS47</f>
        <v>PHEV60</v>
      </c>
      <c r="BT124" s="32">
        <f t="shared" si="277"/>
        <v>52780.398428948298</v>
      </c>
      <c r="BU124" s="32">
        <f t="shared" si="277"/>
        <v>52780.398428948298</v>
      </c>
      <c r="BV124" s="32">
        <f t="shared" si="277"/>
        <v>46748.663276760417</v>
      </c>
      <c r="BW124" s="698"/>
      <c r="BX124" s="695"/>
      <c r="BY124" s="695"/>
      <c r="BZ124" s="695"/>
      <c r="CA124" s="695"/>
      <c r="CB124" s="695"/>
      <c r="CC124" s="695"/>
      <c r="CD124" s="695"/>
      <c r="CE124" s="695"/>
      <c r="CF124" s="32">
        <f t="shared" ref="CF124:CG124" si="278">CF47</f>
        <v>0</v>
      </c>
      <c r="CG124" s="32">
        <f t="shared" si="278"/>
        <v>-6031.7351521878809</v>
      </c>
    </row>
    <row r="125" spans="42:85">
      <c r="AY125" s="892"/>
      <c r="AZ125" s="683" t="str">
        <f t="shared" si="272"/>
        <v>BEV240</v>
      </c>
      <c r="BA125" s="28">
        <f t="shared" si="267"/>
        <v>4667.4752102121438</v>
      </c>
      <c r="BB125" s="28">
        <f t="shared" si="268"/>
        <v>4667.4752102121438</v>
      </c>
      <c r="BC125" s="28">
        <f t="shared" si="269"/>
        <v>4667.4752102121438</v>
      </c>
      <c r="BD125" s="687"/>
      <c r="BE125" s="656"/>
      <c r="BF125" s="656"/>
      <c r="BG125" s="656"/>
      <c r="BH125" s="656"/>
      <c r="BI125" s="656"/>
      <c r="BJ125" s="656"/>
      <c r="BK125" s="688"/>
      <c r="BL125" s="687"/>
      <c r="BM125" s="767"/>
      <c r="BN125" s="688"/>
      <c r="BO125" s="28">
        <f>BA125-BB125</f>
        <v>0</v>
      </c>
      <c r="BP125" s="28">
        <f>BC125-BA125</f>
        <v>0</v>
      </c>
      <c r="BR125" s="892"/>
      <c r="BS125" s="683" t="str">
        <f t="shared" ref="BS125:BV125" si="279">BS48</f>
        <v>BEV240</v>
      </c>
      <c r="BT125" s="28">
        <f t="shared" si="279"/>
        <v>67031.631929099676</v>
      </c>
      <c r="BU125" s="28">
        <f t="shared" si="279"/>
        <v>67031.631929099676</v>
      </c>
      <c r="BV125" s="28">
        <f t="shared" si="279"/>
        <v>45150.13559212473</v>
      </c>
      <c r="BW125" s="699"/>
      <c r="BX125" s="696"/>
      <c r="BY125" s="696"/>
      <c r="BZ125" s="696"/>
      <c r="CA125" s="696"/>
      <c r="CB125" s="696"/>
      <c r="CC125" s="696"/>
      <c r="CD125" s="696"/>
      <c r="CE125" s="696"/>
      <c r="CF125" s="28">
        <f t="shared" ref="CF125:CG125" si="280">CF48</f>
        <v>0</v>
      </c>
      <c r="CG125" s="28">
        <f t="shared" si="280"/>
        <v>-21881.496336974946</v>
      </c>
    </row>
    <row r="126" spans="42:85">
      <c r="AY126" s="766" t="s">
        <v>241</v>
      </c>
      <c r="AZ126" s="91"/>
      <c r="BA126" s="769"/>
      <c r="BB126" s="769"/>
      <c r="BC126" s="769"/>
      <c r="BD126" s="710"/>
      <c r="BE126" s="766"/>
      <c r="BF126" s="766"/>
      <c r="BG126" s="766"/>
      <c r="BH126" s="766"/>
      <c r="BI126" s="766"/>
      <c r="BJ126" s="766"/>
      <c r="BK126" s="692"/>
      <c r="BL126" s="710"/>
      <c r="BM126" s="766"/>
      <c r="BN126" s="692"/>
      <c r="BO126" s="769"/>
      <c r="BP126" s="769"/>
      <c r="BR126" s="689" t="s">
        <v>241</v>
      </c>
      <c r="BS126" s="91"/>
      <c r="BT126" s="32"/>
      <c r="BU126" s="32"/>
      <c r="BV126" s="32"/>
      <c r="BW126" s="691"/>
      <c r="BX126" s="689"/>
      <c r="BY126" s="689"/>
      <c r="BZ126" s="689"/>
      <c r="CA126" s="689"/>
      <c r="CB126" s="830"/>
      <c r="CC126" s="830"/>
      <c r="CD126" s="689"/>
      <c r="CE126" s="830"/>
      <c r="CF126" s="32"/>
      <c r="CG126" s="32"/>
    </row>
    <row r="127" spans="42:85">
      <c r="AY127" s="890" t="s">
        <v>749</v>
      </c>
      <c r="AZ127" s="681" t="str">
        <f>AQ104</f>
        <v>CV</v>
      </c>
      <c r="BA127" s="682">
        <f t="shared" ref="BA127:BA131" si="281">AR104</f>
        <v>4801.5346124455709</v>
      </c>
      <c r="BB127" s="682">
        <f t="shared" ref="BB127:BB131" si="282">AS104</f>
        <v>4243.4384168164825</v>
      </c>
      <c r="BC127" s="682">
        <f t="shared" ref="BC127:BC131" si="283">AT104</f>
        <v>5686.6621347287664</v>
      </c>
      <c r="BD127" s="685"/>
      <c r="BE127" s="770"/>
      <c r="BF127" s="770"/>
      <c r="BG127" s="770"/>
      <c r="BH127" s="770"/>
      <c r="BI127" s="770"/>
      <c r="BJ127" s="770"/>
      <c r="BK127" s="686"/>
      <c r="BL127" s="685"/>
      <c r="BM127" s="770"/>
      <c r="BN127" s="686"/>
      <c r="BO127" s="682">
        <f>BA127-BB127</f>
        <v>558.09619562908847</v>
      </c>
      <c r="BP127" s="682">
        <f>BC127-BA127</f>
        <v>885.1275222831955</v>
      </c>
      <c r="BR127" s="890" t="str">
        <f>BR50</f>
        <v>Gasoline
Price Cases</v>
      </c>
      <c r="BS127" s="681" t="str">
        <f>BS50</f>
        <v>CV</v>
      </c>
      <c r="BT127" s="682">
        <f t="shared" ref="BT127:BV127" si="284">BT50</f>
        <v>44587.220125613137</v>
      </c>
      <c r="BU127" s="682">
        <f t="shared" si="284"/>
        <v>39360.19414167761</v>
      </c>
      <c r="BV127" s="682">
        <f t="shared" si="284"/>
        <v>50454.723779349326</v>
      </c>
      <c r="BW127" s="697"/>
      <c r="BX127" s="694"/>
      <c r="BY127" s="694"/>
      <c r="BZ127" s="694"/>
      <c r="CA127" s="694"/>
      <c r="CB127" s="694"/>
      <c r="CC127" s="694"/>
      <c r="CD127" s="694"/>
      <c r="CE127" s="694"/>
      <c r="CF127" s="682">
        <f t="shared" ref="CF127:CG127" si="285">CF50</f>
        <v>5227.0259839355276</v>
      </c>
      <c r="CG127" s="682">
        <f t="shared" si="285"/>
        <v>5867.5036537361884</v>
      </c>
    </row>
    <row r="128" spans="42:85">
      <c r="AY128" s="891"/>
      <c r="AZ128" s="91" t="str">
        <f t="shared" ref="AZ128:AZ131" si="286">AQ105</f>
        <v>HEV</v>
      </c>
      <c r="BA128" s="769">
        <f t="shared" si="281"/>
        <v>3910.2272578777161</v>
      </c>
      <c r="BB128" s="769">
        <f t="shared" si="282"/>
        <v>3511.5871181426528</v>
      </c>
      <c r="BC128" s="769">
        <f t="shared" si="283"/>
        <v>4542.4612023657128</v>
      </c>
      <c r="BD128" s="710"/>
      <c r="BE128" s="766"/>
      <c r="BF128" s="766"/>
      <c r="BG128" s="766"/>
      <c r="BH128" s="766"/>
      <c r="BI128" s="766"/>
      <c r="BJ128" s="766"/>
      <c r="BK128" s="692"/>
      <c r="BL128" s="710"/>
      <c r="BM128" s="766"/>
      <c r="BN128" s="692"/>
      <c r="BO128" s="769">
        <f>BA128-BB128</f>
        <v>398.64013973506326</v>
      </c>
      <c r="BP128" s="769">
        <f>BC128-BA128</f>
        <v>632.23394448799672</v>
      </c>
      <c r="BR128" s="891"/>
      <c r="BS128" s="91" t="str">
        <f t="shared" ref="BS128:BV128" si="287">BS51</f>
        <v>HEV</v>
      </c>
      <c r="BT128" s="32">
        <f t="shared" si="287"/>
        <v>43587.2467938478</v>
      </c>
      <c r="BU128" s="32">
        <f t="shared" si="287"/>
        <v>39853.656805322425</v>
      </c>
      <c r="BV128" s="32">
        <f t="shared" si="287"/>
        <v>47778.320832230791</v>
      </c>
      <c r="BW128" s="698"/>
      <c r="BX128" s="695"/>
      <c r="BY128" s="695"/>
      <c r="BZ128" s="695"/>
      <c r="CA128" s="695"/>
      <c r="CB128" s="695"/>
      <c r="CC128" s="695"/>
      <c r="CD128" s="695"/>
      <c r="CE128" s="695"/>
      <c r="CF128" s="32">
        <f t="shared" ref="CF128:CG128" si="288">CF51</f>
        <v>3733.5899885253748</v>
      </c>
      <c r="CG128" s="32">
        <f t="shared" si="288"/>
        <v>4191.0740383829907</v>
      </c>
    </row>
    <row r="129" spans="51:85">
      <c r="AY129" s="891"/>
      <c r="AZ129" s="91" t="str">
        <f t="shared" si="286"/>
        <v>PHEV20</v>
      </c>
      <c r="BA129" s="769">
        <f t="shared" si="281"/>
        <v>3632.7889258841947</v>
      </c>
      <c r="BB129" s="769">
        <f t="shared" si="282"/>
        <v>3308.8659251943041</v>
      </c>
      <c r="BC129" s="769">
        <f t="shared" si="283"/>
        <v>4146.5232341569754</v>
      </c>
      <c r="BD129" s="710"/>
      <c r="BE129" s="766"/>
      <c r="BF129" s="766"/>
      <c r="BG129" s="766"/>
      <c r="BH129" s="766"/>
      <c r="BI129" s="766"/>
      <c r="BJ129" s="766"/>
      <c r="BK129" s="692"/>
      <c r="BL129" s="710"/>
      <c r="BM129" s="766"/>
      <c r="BN129" s="692"/>
      <c r="BO129" s="769">
        <f>BA129-BB129</f>
        <v>323.92300068989061</v>
      </c>
      <c r="BP129" s="769">
        <f>BC129-BA129</f>
        <v>513.73430827278071</v>
      </c>
      <c r="BR129" s="891"/>
      <c r="BS129" s="91" t="str">
        <f t="shared" ref="BS129:BV129" si="289">BS52</f>
        <v>PHEV20</v>
      </c>
      <c r="BT129" s="32">
        <f t="shared" si="289"/>
        <v>44342.078748103791</v>
      </c>
      <c r="BU129" s="32">
        <f t="shared" si="289"/>
        <v>41308.275696477736</v>
      </c>
      <c r="BV129" s="32">
        <f t="shared" si="289"/>
        <v>47747.619593862</v>
      </c>
      <c r="BW129" s="698"/>
      <c r="BX129" s="695"/>
      <c r="BY129" s="695"/>
      <c r="BZ129" s="695"/>
      <c r="CA129" s="695"/>
      <c r="CB129" s="695"/>
      <c r="CC129" s="695"/>
      <c r="CD129" s="695"/>
      <c r="CE129" s="695"/>
      <c r="CF129" s="32">
        <f t="shared" ref="CF129:CG129" si="290">CF52</f>
        <v>3033.8030516260551</v>
      </c>
      <c r="CG129" s="32">
        <f t="shared" si="290"/>
        <v>3405.5408457582089</v>
      </c>
    </row>
    <row r="130" spans="51:85">
      <c r="AY130" s="891"/>
      <c r="AZ130" s="91" t="str">
        <f t="shared" si="286"/>
        <v>PHEV60</v>
      </c>
      <c r="BA130" s="769">
        <f t="shared" si="281"/>
        <v>4145.8901532997616</v>
      </c>
      <c r="BB130" s="769">
        <f t="shared" si="282"/>
        <v>3865.341485401384</v>
      </c>
      <c r="BC130" s="769">
        <f t="shared" si="283"/>
        <v>4590.8337835225648</v>
      </c>
      <c r="BD130" s="710"/>
      <c r="BE130" s="766"/>
      <c r="BF130" s="766"/>
      <c r="BG130" s="766"/>
      <c r="BH130" s="766"/>
      <c r="BI130" s="766"/>
      <c r="BJ130" s="766"/>
      <c r="BK130" s="692"/>
      <c r="BL130" s="710"/>
      <c r="BM130" s="766"/>
      <c r="BN130" s="692"/>
      <c r="BO130" s="769">
        <f>BA130-BB130</f>
        <v>280.54866789837752</v>
      </c>
      <c r="BP130" s="769">
        <f>BC130-BA130</f>
        <v>444.94363022280322</v>
      </c>
      <c r="BR130" s="891"/>
      <c r="BS130" s="91" t="str">
        <f t="shared" ref="BS130:BV130" si="291">BS53</f>
        <v>PHEV60</v>
      </c>
      <c r="BT130" s="32">
        <f t="shared" si="291"/>
        <v>52780.398428948298</v>
      </c>
      <c r="BU130" s="32">
        <f t="shared" si="291"/>
        <v>50152.831374472422</v>
      </c>
      <c r="BV130" s="32">
        <f t="shared" si="291"/>
        <v>55729.926389964116</v>
      </c>
      <c r="BW130" s="698"/>
      <c r="BX130" s="695"/>
      <c r="BY130" s="695"/>
      <c r="BZ130" s="695"/>
      <c r="CA130" s="695"/>
      <c r="CB130" s="695"/>
      <c r="CC130" s="695"/>
      <c r="CD130" s="695"/>
      <c r="CE130" s="695"/>
      <c r="CF130" s="32">
        <f t="shared" ref="CF130:CG130" si="292">CF53</f>
        <v>2627.5670544758759</v>
      </c>
      <c r="CG130" s="32">
        <f t="shared" si="292"/>
        <v>2949.5279610158177</v>
      </c>
    </row>
    <row r="131" spans="51:85">
      <c r="AY131" s="892"/>
      <c r="AZ131" s="683" t="str">
        <f t="shared" si="286"/>
        <v>BEV240</v>
      </c>
      <c r="BA131" s="768">
        <f t="shared" si="281"/>
        <v>4667.4752102121438</v>
      </c>
      <c r="BB131" s="768">
        <f t="shared" si="282"/>
        <v>4667.4752102121438</v>
      </c>
      <c r="BC131" s="768">
        <f t="shared" si="283"/>
        <v>4667.4752102121438</v>
      </c>
      <c r="BD131" s="687"/>
      <c r="BE131" s="767"/>
      <c r="BF131" s="767"/>
      <c r="BG131" s="767"/>
      <c r="BH131" s="767"/>
      <c r="BI131" s="767"/>
      <c r="BJ131" s="767"/>
      <c r="BK131" s="688"/>
      <c r="BL131" s="687"/>
      <c r="BM131" s="767"/>
      <c r="BN131" s="688"/>
      <c r="BO131" s="768">
        <f>BA131-BB131</f>
        <v>0</v>
      </c>
      <c r="BP131" s="768">
        <f>BC131-BA131</f>
        <v>0</v>
      </c>
      <c r="BR131" s="892"/>
      <c r="BS131" s="683" t="str">
        <f t="shared" ref="BS131:BV131" si="293">BS54</f>
        <v>BEV240</v>
      </c>
      <c r="BT131" s="28">
        <f t="shared" si="293"/>
        <v>67031.631929099676</v>
      </c>
      <c r="BU131" s="28">
        <f t="shared" si="293"/>
        <v>67031.631929099676</v>
      </c>
      <c r="BV131" s="28">
        <f t="shared" si="293"/>
        <v>67031.631929099676</v>
      </c>
      <c r="BW131" s="699"/>
      <c r="BX131" s="696"/>
      <c r="BY131" s="696"/>
      <c r="BZ131" s="696"/>
      <c r="CA131" s="696"/>
      <c r="CB131" s="696"/>
      <c r="CC131" s="696"/>
      <c r="CD131" s="696"/>
      <c r="CE131" s="696"/>
      <c r="CF131" s="28">
        <f t="shared" ref="CF131:CG131" si="294">CF54</f>
        <v>0</v>
      </c>
      <c r="CG131" s="28">
        <f t="shared" si="294"/>
        <v>0</v>
      </c>
    </row>
    <row r="132" spans="51:85">
      <c r="AY132" s="766" t="s">
        <v>241</v>
      </c>
      <c r="AZ132" s="91"/>
      <c r="BA132" s="769"/>
      <c r="BB132" s="769"/>
      <c r="BC132" s="769"/>
      <c r="BD132" s="710"/>
      <c r="BE132" s="766"/>
      <c r="BF132" s="766"/>
      <c r="BG132" s="766"/>
      <c r="BH132" s="766"/>
      <c r="BI132" s="766"/>
      <c r="BJ132" s="766"/>
      <c r="BK132" s="692"/>
      <c r="BL132" s="710"/>
      <c r="BM132" s="766"/>
      <c r="BN132" s="692"/>
      <c r="BO132" s="769"/>
      <c r="BP132" s="769"/>
      <c r="BR132" s="689" t="s">
        <v>241</v>
      </c>
      <c r="BS132" s="91"/>
      <c r="BT132" s="32"/>
      <c r="BU132" s="32"/>
      <c r="BV132" s="32"/>
      <c r="BW132" s="691"/>
      <c r="BX132" s="689"/>
      <c r="BY132" s="689"/>
      <c r="BZ132" s="689"/>
      <c r="CA132" s="689"/>
      <c r="CB132" s="830"/>
      <c r="CC132" s="830"/>
      <c r="CD132" s="689"/>
      <c r="CE132" s="830"/>
      <c r="CF132" s="32"/>
      <c r="CG132" s="32"/>
    </row>
    <row r="133" spans="51:85">
      <c r="AY133" s="890" t="s">
        <v>750</v>
      </c>
      <c r="AZ133" s="681" t="str">
        <f>AQ110</f>
        <v>CV</v>
      </c>
      <c r="BA133" s="682">
        <f t="shared" ref="BA133:BA137" si="295">AR110</f>
        <v>4801.5346124455709</v>
      </c>
      <c r="BB133" s="682">
        <f t="shared" ref="BB133:BB137" si="296">AS110</f>
        <v>4801.5346124455709</v>
      </c>
      <c r="BC133" s="682">
        <f t="shared" ref="BC133:BC137" si="297">AT110</f>
        <v>5281.4253728426884</v>
      </c>
      <c r="BD133" s="685"/>
      <c r="BE133" s="770"/>
      <c r="BF133" s="770"/>
      <c r="BG133" s="770"/>
      <c r="BH133" s="770"/>
      <c r="BI133" s="770"/>
      <c r="BJ133" s="770"/>
      <c r="BK133" s="686"/>
      <c r="BL133" s="685"/>
      <c r="BM133" s="770"/>
      <c r="BN133" s="686"/>
      <c r="BO133" s="682">
        <f>BA133-BB133</f>
        <v>0</v>
      </c>
      <c r="BP133" s="682">
        <f>BC133-BA133</f>
        <v>479.89076039711745</v>
      </c>
      <c r="BR133" s="890" t="str">
        <f>BR32</f>
        <v>Li-ion Batt.
Life Cases</v>
      </c>
      <c r="BS133" s="681" t="str">
        <f>BS32</f>
        <v>CV</v>
      </c>
      <c r="BT133" s="682">
        <f>BT32</f>
        <v>44587.220125613137</v>
      </c>
      <c r="BU133" s="682">
        <f>BU32</f>
        <v>44587.220125613137</v>
      </c>
      <c r="BV133" s="682">
        <f>BV32</f>
        <v>44587.220125613137</v>
      </c>
      <c r="BW133" s="697"/>
      <c r="BX133" s="694"/>
      <c r="BY133" s="694"/>
      <c r="BZ133" s="694"/>
      <c r="CA133" s="694"/>
      <c r="CB133" s="694"/>
      <c r="CC133" s="694"/>
      <c r="CD133" s="694"/>
      <c r="CE133" s="694"/>
      <c r="CF133" s="682">
        <f t="shared" ref="CF133:CG133" si="298">CF32</f>
        <v>0</v>
      </c>
      <c r="CG133" s="682">
        <f t="shared" si="298"/>
        <v>0</v>
      </c>
    </row>
    <row r="134" spans="51:85">
      <c r="AY134" s="891"/>
      <c r="AZ134" s="91" t="str">
        <f t="shared" ref="AZ134:AZ137" si="299">AQ111</f>
        <v>HEV</v>
      </c>
      <c r="BA134" s="769">
        <f t="shared" si="295"/>
        <v>3910.2272578777161</v>
      </c>
      <c r="BB134" s="769">
        <f t="shared" si="296"/>
        <v>3910.2272578777161</v>
      </c>
      <c r="BC134" s="769">
        <f t="shared" si="297"/>
        <v>4253.0063724470856</v>
      </c>
      <c r="BD134" s="710"/>
      <c r="BE134" s="766"/>
      <c r="BF134" s="766"/>
      <c r="BG134" s="766"/>
      <c r="BH134" s="766"/>
      <c r="BI134" s="766"/>
      <c r="BJ134" s="766"/>
      <c r="BK134" s="692"/>
      <c r="BL134" s="710"/>
      <c r="BM134" s="766"/>
      <c r="BN134" s="692"/>
      <c r="BO134" s="769">
        <f>BA134-BB134</f>
        <v>0</v>
      </c>
      <c r="BP134" s="769">
        <f>BC134-BA134</f>
        <v>342.77911456936954</v>
      </c>
      <c r="BR134" s="891"/>
      <c r="BS134" s="91" t="str">
        <f t="shared" ref="BS134:BV137" si="300">BS33</f>
        <v>HEV</v>
      </c>
      <c r="BT134" s="32">
        <f t="shared" si="300"/>
        <v>43587.2467938478</v>
      </c>
      <c r="BU134" s="32">
        <f t="shared" si="300"/>
        <v>43587.2467938478</v>
      </c>
      <c r="BV134" s="32">
        <f t="shared" si="300"/>
        <v>43587.2467938478</v>
      </c>
      <c r="BW134" s="698"/>
      <c r="BX134" s="695"/>
      <c r="BY134" s="695"/>
      <c r="BZ134" s="695"/>
      <c r="CA134" s="695"/>
      <c r="CB134" s="695"/>
      <c r="CC134" s="695"/>
      <c r="CD134" s="695"/>
      <c r="CE134" s="695"/>
      <c r="CF134" s="32">
        <f t="shared" ref="CF134:CG134" si="301">CF33</f>
        <v>0</v>
      </c>
      <c r="CG134" s="32">
        <f t="shared" si="301"/>
        <v>0</v>
      </c>
    </row>
    <row r="135" spans="51:85">
      <c r="AY135" s="891"/>
      <c r="AZ135" s="91" t="str">
        <f t="shared" si="299"/>
        <v>PHEV20</v>
      </c>
      <c r="BA135" s="769">
        <f t="shared" si="295"/>
        <v>3632.7889258841947</v>
      </c>
      <c r="BB135" s="769">
        <f t="shared" si="296"/>
        <v>3632.7889258841947</v>
      </c>
      <c r="BC135" s="769">
        <f t="shared" si="297"/>
        <v>3911.3209358291219</v>
      </c>
      <c r="BD135" s="710"/>
      <c r="BE135" s="766"/>
      <c r="BF135" s="766"/>
      <c r="BG135" s="766"/>
      <c r="BH135" s="766"/>
      <c r="BI135" s="766"/>
      <c r="BJ135" s="766"/>
      <c r="BK135" s="692"/>
      <c r="BL135" s="710"/>
      <c r="BM135" s="766"/>
      <c r="BN135" s="692"/>
      <c r="BO135" s="769">
        <f>BA135-BB135</f>
        <v>0</v>
      </c>
      <c r="BP135" s="769">
        <f>BC135-BA135</f>
        <v>278.53200994492727</v>
      </c>
      <c r="BR135" s="891"/>
      <c r="BS135" s="91" t="str">
        <f t="shared" si="300"/>
        <v>PHEV20</v>
      </c>
      <c r="BT135" s="32">
        <f t="shared" si="300"/>
        <v>44342.078748103791</v>
      </c>
      <c r="BU135" s="32">
        <f t="shared" si="300"/>
        <v>46089.27864434931</v>
      </c>
      <c r="BV135" s="32">
        <f t="shared" si="300"/>
        <v>44342.078748103791</v>
      </c>
      <c r="BW135" s="698"/>
      <c r="BX135" s="695"/>
      <c r="BY135" s="695"/>
      <c r="BZ135" s="695"/>
      <c r="CA135" s="695"/>
      <c r="CB135" s="695"/>
      <c r="CC135" s="695"/>
      <c r="CD135" s="695"/>
      <c r="CE135" s="695"/>
      <c r="CF135" s="32">
        <f t="shared" ref="CF135:CG135" si="302">CF34</f>
        <v>-1747.1998962455182</v>
      </c>
      <c r="CG135" s="32">
        <f t="shared" si="302"/>
        <v>0</v>
      </c>
    </row>
    <row r="136" spans="51:85">
      <c r="AY136" s="891"/>
      <c r="AZ136" s="91" t="str">
        <f t="shared" si="299"/>
        <v>PHEV60</v>
      </c>
      <c r="BA136" s="769">
        <f t="shared" si="295"/>
        <v>4145.8901532997616</v>
      </c>
      <c r="BB136" s="769">
        <f t="shared" si="296"/>
        <v>4145.8901532997616</v>
      </c>
      <c r="BC136" s="769">
        <f t="shared" si="297"/>
        <v>4387.1258302683027</v>
      </c>
      <c r="BD136" s="710"/>
      <c r="BE136" s="766"/>
      <c r="BF136" s="766"/>
      <c r="BG136" s="766"/>
      <c r="BH136" s="766"/>
      <c r="BI136" s="766"/>
      <c r="BJ136" s="766"/>
      <c r="BK136" s="692"/>
      <c r="BL136" s="710"/>
      <c r="BM136" s="766"/>
      <c r="BN136" s="692"/>
      <c r="BO136" s="769">
        <f>BA136-BB136</f>
        <v>0</v>
      </c>
      <c r="BP136" s="769">
        <f>BC136-BA136</f>
        <v>241.23567696854116</v>
      </c>
      <c r="BR136" s="891"/>
      <c r="BS136" s="91" t="str">
        <f t="shared" si="300"/>
        <v>PHEV60</v>
      </c>
      <c r="BT136" s="32">
        <f t="shared" si="300"/>
        <v>52780.398428948298</v>
      </c>
      <c r="BU136" s="32">
        <f t="shared" si="300"/>
        <v>58585.731268367657</v>
      </c>
      <c r="BV136" s="32">
        <f t="shared" si="300"/>
        <v>52780.398428948298</v>
      </c>
      <c r="BW136" s="698"/>
      <c r="BX136" s="695"/>
      <c r="BY136" s="695"/>
      <c r="BZ136" s="695"/>
      <c r="CA136" s="695"/>
      <c r="CB136" s="695"/>
      <c r="CC136" s="695"/>
      <c r="CD136" s="695"/>
      <c r="CE136" s="695"/>
      <c r="CF136" s="32">
        <f t="shared" ref="CF136:CG136" si="303">CF35</f>
        <v>-5805.3328394193595</v>
      </c>
      <c r="CG136" s="32">
        <f t="shared" si="303"/>
        <v>0</v>
      </c>
    </row>
    <row r="137" spans="51:85">
      <c r="AY137" s="892"/>
      <c r="AZ137" s="683" t="str">
        <f t="shared" si="299"/>
        <v>BEV240</v>
      </c>
      <c r="BA137" s="768">
        <f t="shared" si="295"/>
        <v>4667.4752102121438</v>
      </c>
      <c r="BB137" s="768">
        <f t="shared" si="296"/>
        <v>4667.4752102121438</v>
      </c>
      <c r="BC137" s="768">
        <f t="shared" si="297"/>
        <v>4667.4752102121438</v>
      </c>
      <c r="BD137" s="687"/>
      <c r="BE137" s="767"/>
      <c r="BF137" s="767"/>
      <c r="BG137" s="767"/>
      <c r="BH137" s="767"/>
      <c r="BI137" s="767"/>
      <c r="BJ137" s="767"/>
      <c r="BK137" s="688"/>
      <c r="BL137" s="687"/>
      <c r="BM137" s="767"/>
      <c r="BN137" s="688"/>
      <c r="BO137" s="768">
        <f>BA137-BB137</f>
        <v>0</v>
      </c>
      <c r="BP137" s="768">
        <f>BC137-BA137</f>
        <v>0</v>
      </c>
      <c r="BR137" s="892"/>
      <c r="BS137" s="683" t="str">
        <f t="shared" si="300"/>
        <v>BEV240</v>
      </c>
      <c r="BT137" s="28">
        <f t="shared" si="300"/>
        <v>67031.631929099676</v>
      </c>
      <c r="BU137" s="28">
        <f t="shared" si="300"/>
        <v>88398.370684618218</v>
      </c>
      <c r="BV137" s="28">
        <f t="shared" si="300"/>
        <v>67031.631929099676</v>
      </c>
      <c r="BW137" s="699"/>
      <c r="BX137" s="696"/>
      <c r="BY137" s="696"/>
      <c r="BZ137" s="696"/>
      <c r="CA137" s="696"/>
      <c r="CB137" s="696"/>
      <c r="CC137" s="696"/>
      <c r="CD137" s="696"/>
      <c r="CE137" s="696"/>
      <c r="CF137" s="28">
        <f t="shared" ref="CF137:CG137" si="304">CF36</f>
        <v>-21366.738755518541</v>
      </c>
      <c r="CG137" s="28">
        <f t="shared" si="304"/>
        <v>0</v>
      </c>
    </row>
    <row r="138" spans="51:85">
      <c r="AY138" s="819" t="s">
        <v>241</v>
      </c>
      <c r="AZ138" s="91"/>
      <c r="BA138" s="821"/>
      <c r="BB138" s="821"/>
      <c r="BC138" s="821"/>
      <c r="BD138" s="710"/>
      <c r="BE138" s="819"/>
      <c r="BF138" s="819"/>
      <c r="BG138" s="819"/>
      <c r="BH138" s="819"/>
      <c r="BI138" s="819"/>
      <c r="BJ138" s="819"/>
      <c r="BK138" s="692"/>
      <c r="BL138" s="710"/>
      <c r="BM138" s="819"/>
      <c r="BN138" s="692"/>
      <c r="BO138" s="821"/>
      <c r="BP138" s="821"/>
    </row>
    <row r="139" spans="51:85">
      <c r="AY139" s="890" t="str">
        <f>AP116</f>
        <v>Discount 
Rate Cases</v>
      </c>
      <c r="AZ139" s="681" t="str">
        <f>AQ116</f>
        <v>CV</v>
      </c>
      <c r="BA139" s="682">
        <f t="shared" ref="BA139:BA143" si="305">AR116</f>
        <v>4801.5346124455709</v>
      </c>
      <c r="BB139" s="682">
        <f t="shared" ref="BB139:BB143" si="306">AS116</f>
        <v>7087.4846527648524</v>
      </c>
      <c r="BC139" s="682">
        <f t="shared" ref="BC139:BC143" si="307">AT116</f>
        <v>3214.8754220413684</v>
      </c>
      <c r="BD139" s="685"/>
      <c r="BE139" s="817"/>
      <c r="BF139" s="817"/>
      <c r="BG139" s="817"/>
      <c r="BH139" s="817"/>
      <c r="BI139" s="817"/>
      <c r="BJ139" s="817"/>
      <c r="BK139" s="686"/>
      <c r="BL139" s="685"/>
      <c r="BM139" s="817"/>
      <c r="BN139" s="686"/>
      <c r="BO139" s="682">
        <f>BA139-BB139</f>
        <v>-2285.9500403192815</v>
      </c>
      <c r="BP139" s="682">
        <f>BC139-BA139</f>
        <v>-1586.6591904042025</v>
      </c>
    </row>
    <row r="140" spans="51:85">
      <c r="AY140" s="891"/>
      <c r="AZ140" s="91" t="str">
        <f t="shared" ref="AZ140:AZ143" si="308">AQ117</f>
        <v>HEV</v>
      </c>
      <c r="BA140" s="821">
        <f t="shared" si="305"/>
        <v>3910.2272578777161</v>
      </c>
      <c r="BB140" s="821">
        <f t="shared" si="306"/>
        <v>5612.2137721725367</v>
      </c>
      <c r="BC140" s="821">
        <f t="shared" si="307"/>
        <v>2729.4661746202564</v>
      </c>
      <c r="BD140" s="710"/>
      <c r="BE140" s="819"/>
      <c r="BF140" s="819"/>
      <c r="BG140" s="819"/>
      <c r="BH140" s="819"/>
      <c r="BI140" s="819"/>
      <c r="BJ140" s="819"/>
      <c r="BK140" s="692"/>
      <c r="BL140" s="710"/>
      <c r="BM140" s="819"/>
      <c r="BN140" s="692"/>
      <c r="BO140" s="821">
        <f>BA140-BB140</f>
        <v>-1701.9865142948206</v>
      </c>
      <c r="BP140" s="821">
        <f>BC140-BA140</f>
        <v>-1180.7610832574596</v>
      </c>
    </row>
    <row r="141" spans="51:85">
      <c r="AY141" s="891"/>
      <c r="AZ141" s="91" t="str">
        <f t="shared" si="308"/>
        <v>PHEV20</v>
      </c>
      <c r="BA141" s="821">
        <f t="shared" si="305"/>
        <v>3632.7889258841947</v>
      </c>
      <c r="BB141" s="821">
        <f t="shared" si="306"/>
        <v>5153.368335239531</v>
      </c>
      <c r="BC141" s="821">
        <f t="shared" si="307"/>
        <v>2577.8798678572011</v>
      </c>
      <c r="BD141" s="710"/>
      <c r="BE141" s="819"/>
      <c r="BF141" s="819"/>
      <c r="BG141" s="819"/>
      <c r="BH141" s="819"/>
      <c r="BI141" s="819"/>
      <c r="BJ141" s="819"/>
      <c r="BK141" s="692"/>
      <c r="BL141" s="710"/>
      <c r="BM141" s="819"/>
      <c r="BN141" s="692"/>
      <c r="BO141" s="821">
        <f>BA141-BB141</f>
        <v>-1520.5794093553363</v>
      </c>
      <c r="BP141" s="821">
        <f>BC141-BA141</f>
        <v>-1054.9090580269935</v>
      </c>
    </row>
    <row r="142" spans="51:85">
      <c r="AY142" s="891"/>
      <c r="AZ142" s="91" t="str">
        <f t="shared" si="308"/>
        <v>PHEV60</v>
      </c>
      <c r="BA142" s="821">
        <f t="shared" si="305"/>
        <v>4145.8901532997616</v>
      </c>
      <c r="BB142" s="821">
        <f t="shared" si="306"/>
        <v>5768.0211726338612</v>
      </c>
      <c r="BC142" s="821">
        <f t="shared" si="307"/>
        <v>3020.529192159574</v>
      </c>
      <c r="BD142" s="710"/>
      <c r="BE142" s="819"/>
      <c r="BF142" s="819"/>
      <c r="BG142" s="819"/>
      <c r="BH142" s="819"/>
      <c r="BI142" s="819"/>
      <c r="BJ142" s="819"/>
      <c r="BK142" s="692"/>
      <c r="BL142" s="710"/>
      <c r="BM142" s="819"/>
      <c r="BN142" s="692"/>
      <c r="BO142" s="821">
        <f>BA142-BB142</f>
        <v>-1622.1310193340996</v>
      </c>
      <c r="BP142" s="821">
        <f>BC142-BA142</f>
        <v>-1125.3609611401876</v>
      </c>
    </row>
    <row r="143" spans="51:85">
      <c r="AY143" s="892"/>
      <c r="AZ143" s="683" t="str">
        <f t="shared" si="308"/>
        <v>BEV240</v>
      </c>
      <c r="BA143" s="820">
        <f t="shared" si="305"/>
        <v>4667.4752102121438</v>
      </c>
      <c r="BB143" s="820">
        <f t="shared" si="306"/>
        <v>5849.9642254676128</v>
      </c>
      <c r="BC143" s="820">
        <f t="shared" si="307"/>
        <v>3868.0242980648513</v>
      </c>
      <c r="BD143" s="687"/>
      <c r="BE143" s="818"/>
      <c r="BF143" s="818"/>
      <c r="BG143" s="818"/>
      <c r="BH143" s="818"/>
      <c r="BI143" s="818"/>
      <c r="BJ143" s="818"/>
      <c r="BK143" s="688"/>
      <c r="BL143" s="687"/>
      <c r="BM143" s="818"/>
      <c r="BN143" s="688"/>
      <c r="BO143" s="820">
        <f>BA143-BB143</f>
        <v>-1182.489015255469</v>
      </c>
      <c r="BP143" s="820">
        <f>BC143-BA143</f>
        <v>-799.45091214729246</v>
      </c>
    </row>
    <row r="144" spans="51:85">
      <c r="AY144" s="766"/>
      <c r="AZ144" s="769"/>
      <c r="BA144" s="769"/>
      <c r="BB144" s="769"/>
      <c r="BC144" s="769"/>
      <c r="BD144" s="766"/>
      <c r="BE144" s="766"/>
      <c r="BF144" s="766"/>
      <c r="BG144" s="766"/>
      <c r="BH144" s="766"/>
      <c r="BI144" s="766"/>
      <c r="BJ144" s="766"/>
      <c r="BK144" s="766"/>
      <c r="BL144" s="766"/>
      <c r="BM144" s="766"/>
      <c r="BN144" s="766"/>
      <c r="BO144" s="769"/>
      <c r="BP144" s="769"/>
    </row>
    <row r="145" spans="51:68">
      <c r="AY145" s="766"/>
      <c r="AZ145" s="769"/>
      <c r="BA145" s="769"/>
      <c r="BB145" s="769"/>
      <c r="BC145" s="769"/>
      <c r="BD145" s="766"/>
      <c r="BE145" s="766"/>
      <c r="BF145" s="766"/>
      <c r="BG145" s="766"/>
      <c r="BH145" s="766"/>
      <c r="BI145" s="766"/>
      <c r="BJ145" s="766"/>
      <c r="BK145" s="766"/>
      <c r="BL145" s="766"/>
      <c r="BM145" s="766"/>
      <c r="BN145" s="766"/>
      <c r="BO145" s="769"/>
      <c r="BP145" s="769"/>
    </row>
    <row r="146" spans="51:68">
      <c r="AY146" s="863"/>
      <c r="AZ146" s="864"/>
      <c r="BA146" s="864"/>
      <c r="BB146" s="864"/>
      <c r="BC146" s="864"/>
      <c r="BD146" s="863"/>
      <c r="BE146" s="863"/>
      <c r="BF146" s="863"/>
      <c r="BG146" s="863"/>
      <c r="BH146" s="863"/>
      <c r="BI146" s="863"/>
      <c r="BJ146" s="863"/>
      <c r="BK146" s="863"/>
      <c r="BL146" s="863"/>
      <c r="BM146" s="863"/>
      <c r="BN146" s="863"/>
      <c r="BO146" s="864"/>
      <c r="BP146" s="864"/>
    </row>
    <row r="147" spans="51:68">
      <c r="AY147" s="863"/>
      <c r="AZ147" s="864"/>
      <c r="BA147" s="864"/>
      <c r="BB147" s="864"/>
      <c r="BC147" s="864"/>
      <c r="BD147" s="863"/>
      <c r="BE147" s="863"/>
      <c r="BF147" s="863"/>
      <c r="BG147" s="863"/>
      <c r="BH147" s="863"/>
      <c r="BI147" s="863"/>
      <c r="BJ147" s="863"/>
      <c r="BK147" s="863"/>
      <c r="BL147" s="863"/>
      <c r="BM147" s="863"/>
      <c r="BN147" s="863"/>
      <c r="BO147" s="864"/>
      <c r="BP147" s="864"/>
    </row>
    <row r="148" spans="51:68">
      <c r="AY148" s="863"/>
      <c r="AZ148" s="864"/>
      <c r="BA148" s="864"/>
      <c r="BB148" s="864"/>
      <c r="BC148" s="864"/>
      <c r="BD148" s="863"/>
      <c r="BE148" s="863"/>
      <c r="BF148" s="863"/>
      <c r="BG148" s="863"/>
      <c r="BH148" s="863"/>
      <c r="BI148" s="863"/>
      <c r="BJ148" s="863"/>
      <c r="BK148" s="863"/>
      <c r="BL148" s="863"/>
      <c r="BM148" s="863"/>
      <c r="BN148" s="863"/>
      <c r="BO148" s="864"/>
      <c r="BP148" s="864"/>
    </row>
    <row r="149" spans="51:68">
      <c r="AY149" s="863"/>
      <c r="AZ149" s="864"/>
      <c r="BA149" s="864"/>
      <c r="BB149" s="864"/>
      <c r="BC149" s="864"/>
      <c r="BD149" s="863"/>
      <c r="BE149" s="863"/>
      <c r="BF149" s="863"/>
      <c r="BG149" s="863"/>
      <c r="BH149" s="863"/>
      <c r="BI149" s="863"/>
      <c r="BJ149" s="863"/>
      <c r="BK149" s="863"/>
      <c r="BL149" s="863"/>
      <c r="BM149" s="863"/>
      <c r="BN149" s="863"/>
      <c r="BO149" s="864"/>
      <c r="BP149" s="864"/>
    </row>
    <row r="150" spans="51:68">
      <c r="AY150" s="863"/>
      <c r="AZ150" s="864"/>
      <c r="BA150" s="864"/>
      <c r="BB150" s="864"/>
      <c r="BC150" s="864"/>
      <c r="BD150" s="863"/>
      <c r="BE150" s="863"/>
      <c r="BF150" s="863"/>
      <c r="BG150" s="863"/>
      <c r="BH150" s="863"/>
      <c r="BI150" s="863"/>
      <c r="BJ150" s="863"/>
      <c r="BK150" s="863"/>
      <c r="BL150" s="863"/>
      <c r="BM150" s="863"/>
      <c r="BN150" s="863"/>
      <c r="BO150" s="864"/>
      <c r="BP150" s="864"/>
    </row>
    <row r="151" spans="51:68">
      <c r="AY151" s="863"/>
      <c r="AZ151" s="864"/>
      <c r="BA151" s="864"/>
      <c r="BB151" s="864"/>
      <c r="BC151" s="864"/>
      <c r="BD151" s="863"/>
      <c r="BE151" s="863"/>
      <c r="BF151" s="863"/>
      <c r="BG151" s="863"/>
      <c r="BH151" s="863"/>
      <c r="BI151" s="863"/>
      <c r="BJ151" s="863"/>
      <c r="BK151" s="863"/>
      <c r="BL151" s="863"/>
      <c r="BM151" s="863"/>
      <c r="BN151" s="863"/>
      <c r="BO151" s="864"/>
      <c r="BP151" s="864"/>
    </row>
    <row r="152" spans="51:68">
      <c r="AY152" s="863"/>
      <c r="AZ152" s="864"/>
      <c r="BA152" s="864"/>
      <c r="BB152" s="864"/>
      <c r="BC152" s="864"/>
      <c r="BD152" s="863"/>
      <c r="BE152" s="863"/>
      <c r="BF152" s="863"/>
      <c r="BG152" s="863"/>
      <c r="BH152" s="863"/>
      <c r="BI152" s="863"/>
      <c r="BJ152" s="863"/>
      <c r="BK152" s="863"/>
      <c r="BL152" s="863"/>
      <c r="BM152" s="863"/>
      <c r="BN152" s="863"/>
      <c r="BO152" s="864"/>
      <c r="BP152" s="864"/>
    </row>
    <row r="153" spans="51:68">
      <c r="AY153" s="863"/>
      <c r="AZ153" s="864"/>
      <c r="BA153" s="864"/>
      <c r="BB153" s="864"/>
      <c r="BC153" s="864"/>
      <c r="BD153" s="863"/>
      <c r="BE153" s="863"/>
      <c r="BF153" s="863"/>
      <c r="BG153" s="863"/>
      <c r="BH153" s="863"/>
      <c r="BI153" s="863"/>
      <c r="BJ153" s="863"/>
      <c r="BK153" s="863"/>
      <c r="BL153" s="863"/>
      <c r="BM153" s="863"/>
      <c r="BN153" s="863"/>
      <c r="BO153" s="864"/>
      <c r="BP153" s="864"/>
    </row>
    <row r="154" spans="51:68">
      <c r="AY154" s="863"/>
      <c r="AZ154" s="864"/>
      <c r="BA154" s="864"/>
      <c r="BB154" s="864"/>
      <c r="BC154" s="864"/>
      <c r="BD154" s="863"/>
      <c r="BE154" s="863"/>
      <c r="BF154" s="863"/>
      <c r="BG154" s="863"/>
      <c r="BH154" s="863"/>
      <c r="BI154" s="863"/>
      <c r="BJ154" s="863"/>
      <c r="BK154" s="863"/>
      <c r="BL154" s="863"/>
      <c r="BM154" s="863"/>
      <c r="BN154" s="863"/>
      <c r="BO154" s="864"/>
      <c r="BP154" s="864"/>
    </row>
    <row r="155" spans="51:68">
      <c r="AY155" s="863"/>
      <c r="AZ155" s="864"/>
      <c r="BA155" s="864"/>
      <c r="BB155" s="864"/>
      <c r="BC155" s="864"/>
      <c r="BD155" s="863"/>
      <c r="BE155" s="863"/>
      <c r="BF155" s="863"/>
      <c r="BG155" s="863"/>
      <c r="BH155" s="863"/>
      <c r="BI155" s="863"/>
      <c r="BJ155" s="863"/>
      <c r="BK155" s="863"/>
      <c r="BL155" s="863"/>
      <c r="BM155" s="863"/>
      <c r="BN155" s="863"/>
      <c r="BO155" s="864"/>
      <c r="BP155" s="864"/>
    </row>
    <row r="156" spans="51:68">
      <c r="AY156" s="863"/>
      <c r="AZ156" s="864"/>
      <c r="BA156" s="864"/>
      <c r="BB156" s="864"/>
      <c r="BC156" s="864"/>
      <c r="BD156" s="863"/>
      <c r="BE156" s="863"/>
      <c r="BF156" s="863"/>
      <c r="BG156" s="863"/>
      <c r="BH156" s="863"/>
      <c r="BI156" s="863"/>
      <c r="BJ156" s="863"/>
      <c r="BK156" s="863"/>
      <c r="BL156" s="863"/>
      <c r="BM156" s="863"/>
      <c r="BN156" s="863"/>
      <c r="BO156" s="864"/>
      <c r="BP156" s="864"/>
    </row>
    <row r="157" spans="51:68">
      <c r="AY157" s="863"/>
      <c r="AZ157" s="864"/>
      <c r="BA157" s="864"/>
      <c r="BB157" s="864"/>
      <c r="BC157" s="864"/>
      <c r="BD157" s="863"/>
      <c r="BE157" s="863"/>
      <c r="BF157" s="863"/>
      <c r="BG157" s="863"/>
      <c r="BH157" s="863"/>
      <c r="BI157" s="863"/>
      <c r="BJ157" s="863"/>
      <c r="BK157" s="863"/>
      <c r="BL157" s="863"/>
      <c r="BM157" s="863"/>
      <c r="BN157" s="863"/>
      <c r="BO157" s="864"/>
      <c r="BP157" s="864"/>
    </row>
    <row r="158" spans="51:68">
      <c r="AY158" s="863"/>
      <c r="AZ158" s="864"/>
      <c r="BA158" s="864"/>
      <c r="BB158" s="864"/>
      <c r="BC158" s="864"/>
      <c r="BD158" s="863"/>
      <c r="BE158" s="863"/>
      <c r="BF158" s="863"/>
      <c r="BG158" s="863"/>
      <c r="BH158" s="863"/>
      <c r="BI158" s="863"/>
      <c r="BJ158" s="863"/>
      <c r="BK158" s="863"/>
      <c r="BL158" s="863"/>
      <c r="BM158" s="863"/>
      <c r="BN158" s="863"/>
      <c r="BO158" s="864"/>
      <c r="BP158" s="864"/>
    </row>
    <row r="159" spans="51:68">
      <c r="AY159" s="863"/>
      <c r="AZ159" s="864"/>
      <c r="BA159" s="864"/>
      <c r="BB159" s="864"/>
      <c r="BC159" s="864"/>
      <c r="BD159" s="863"/>
      <c r="BE159" s="863"/>
      <c r="BF159" s="863"/>
      <c r="BG159" s="863"/>
      <c r="BH159" s="863"/>
      <c r="BI159" s="863"/>
      <c r="BJ159" s="863"/>
      <c r="BK159" s="863"/>
      <c r="BL159" s="863"/>
      <c r="BM159" s="863"/>
      <c r="BN159" s="863"/>
      <c r="BO159" s="864"/>
      <c r="BP159" s="864"/>
    </row>
    <row r="160" spans="51:68">
      <c r="AY160" s="863"/>
      <c r="AZ160" s="864"/>
      <c r="BA160" s="864"/>
      <c r="BB160" s="864"/>
      <c r="BC160" s="864"/>
      <c r="BD160" s="863"/>
      <c r="BE160" s="863"/>
      <c r="BF160" s="863"/>
      <c r="BG160" s="863"/>
      <c r="BH160" s="863"/>
      <c r="BI160" s="863"/>
      <c r="BJ160" s="863"/>
      <c r="BK160" s="863"/>
      <c r="BL160" s="863"/>
      <c r="BM160" s="863"/>
      <c r="BN160" s="863"/>
      <c r="BO160" s="864"/>
      <c r="BP160" s="864"/>
    </row>
    <row r="161" spans="51:68">
      <c r="AY161" s="863"/>
      <c r="AZ161" s="864"/>
      <c r="BA161" s="864"/>
      <c r="BB161" s="864"/>
      <c r="BC161" s="864"/>
      <c r="BD161" s="863"/>
      <c r="BE161" s="863"/>
      <c r="BF161" s="863"/>
      <c r="BG161" s="863"/>
      <c r="BH161" s="863"/>
      <c r="BI161" s="863"/>
      <c r="BJ161" s="863"/>
      <c r="BK161" s="863"/>
      <c r="BL161" s="863"/>
      <c r="BM161" s="863"/>
      <c r="BN161" s="863"/>
      <c r="BO161" s="864"/>
      <c r="BP161" s="864"/>
    </row>
    <row r="162" spans="51:68">
      <c r="AY162" s="863"/>
      <c r="AZ162" s="864"/>
      <c r="BA162" s="864"/>
      <c r="BB162" s="864"/>
      <c r="BC162" s="864"/>
      <c r="BD162" s="863"/>
      <c r="BE162" s="863"/>
      <c r="BF162" s="863"/>
      <c r="BG162" s="863"/>
      <c r="BH162" s="863"/>
      <c r="BI162" s="863"/>
      <c r="BJ162" s="863"/>
      <c r="BK162" s="863"/>
      <c r="BL162" s="863"/>
      <c r="BM162" s="863"/>
      <c r="BN162" s="863"/>
      <c r="BO162" s="864"/>
      <c r="BP162" s="864"/>
    </row>
    <row r="163" spans="51:68">
      <c r="AY163" s="863"/>
      <c r="AZ163" s="864"/>
      <c r="BA163" s="864"/>
      <c r="BB163" s="864"/>
      <c r="BC163" s="864"/>
      <c r="BD163" s="863"/>
      <c r="BE163" s="863"/>
      <c r="BF163" s="863"/>
      <c r="BG163" s="863"/>
      <c r="BH163" s="863"/>
      <c r="BI163" s="863"/>
      <c r="BJ163" s="863"/>
      <c r="BK163" s="863"/>
      <c r="BL163" s="863"/>
      <c r="BM163" s="863"/>
      <c r="BN163" s="863"/>
      <c r="BO163" s="864"/>
      <c r="BP163" s="864"/>
    </row>
    <row r="164" spans="51:68">
      <c r="AY164" s="863"/>
      <c r="AZ164" s="864"/>
      <c r="BA164" s="864"/>
      <c r="BB164" s="864"/>
      <c r="BC164" s="864"/>
      <c r="BD164" s="863"/>
      <c r="BE164" s="863"/>
      <c r="BF164" s="863"/>
      <c r="BG164" s="863"/>
      <c r="BH164" s="863"/>
      <c r="BI164" s="863"/>
      <c r="BJ164" s="863"/>
      <c r="BK164" s="863"/>
      <c r="BL164" s="863"/>
      <c r="BM164" s="863"/>
      <c r="BN164" s="863"/>
      <c r="BO164" s="864"/>
      <c r="BP164" s="864"/>
    </row>
    <row r="165" spans="51:68">
      <c r="AY165" s="863"/>
      <c r="AZ165" s="864"/>
      <c r="BA165" s="864"/>
      <c r="BB165" s="864"/>
      <c r="BC165" s="864"/>
      <c r="BD165" s="863"/>
      <c r="BE165" s="863"/>
      <c r="BF165" s="863"/>
      <c r="BG165" s="863"/>
      <c r="BH165" s="863"/>
      <c r="BI165" s="863"/>
      <c r="BJ165" s="863"/>
      <c r="BK165" s="863"/>
      <c r="BL165" s="863"/>
      <c r="BM165" s="863"/>
      <c r="BN165" s="863"/>
      <c r="BO165" s="864"/>
      <c r="BP165" s="864"/>
    </row>
    <row r="166" spans="51:68">
      <c r="AY166" s="766"/>
      <c r="AZ166" s="769"/>
      <c r="BA166" s="769"/>
      <c r="BB166" s="769"/>
      <c r="BC166" s="769"/>
      <c r="BD166" s="766"/>
      <c r="BE166" s="766"/>
      <c r="BF166" s="766"/>
      <c r="BG166" s="766"/>
      <c r="BH166" s="766"/>
      <c r="BI166" s="766"/>
      <c r="BJ166" s="766"/>
      <c r="BK166" s="766"/>
      <c r="BL166" s="766"/>
      <c r="BM166" s="766"/>
      <c r="BN166" s="766"/>
      <c r="BO166" s="769"/>
      <c r="BP166" s="769"/>
    </row>
    <row r="187" spans="51:68">
      <c r="AY187" s="25"/>
      <c r="AZ187" s="678"/>
      <c r="BA187" s="684" t="str">
        <f>BA42</f>
        <v>Base Case</v>
      </c>
      <c r="BB187" s="26" t="str">
        <f t="shared" ref="BB187:BP187" si="309">BB42</f>
        <v>Low Case</v>
      </c>
      <c r="BC187" s="26" t="str">
        <f t="shared" si="309"/>
        <v>High Case</v>
      </c>
      <c r="BD187" s="680" t="str">
        <f t="shared" si="309"/>
        <v>GHGs</v>
      </c>
      <c r="BE187" s="32" t="str">
        <f t="shared" si="309"/>
        <v>CO</v>
      </c>
      <c r="BF187" s="32" t="str">
        <f t="shared" si="309"/>
        <v>NH3</v>
      </c>
      <c r="BG187" s="32" t="str">
        <f t="shared" si="309"/>
        <v>NOx</v>
      </c>
      <c r="BH187" s="32" t="str">
        <f t="shared" si="309"/>
        <v>PM10</v>
      </c>
      <c r="BI187" s="32" t="str">
        <f t="shared" si="309"/>
        <v>PM2.5</v>
      </c>
      <c r="BJ187" s="32" t="str">
        <f t="shared" si="309"/>
        <v>SO2</v>
      </c>
      <c r="BK187" s="91" t="str">
        <f t="shared" si="309"/>
        <v>VOC</v>
      </c>
      <c r="BL187" s="197" t="s">
        <v>613</v>
      </c>
      <c r="BM187" s="769"/>
      <c r="BN187" s="769"/>
      <c r="BO187" s="26" t="str">
        <f t="shared" si="309"/>
        <v>Ebar1</v>
      </c>
      <c r="BP187" s="26" t="str">
        <f t="shared" si="309"/>
        <v>Ebar2</v>
      </c>
    </row>
    <row r="188" spans="51:68">
      <c r="AY188" s="890" t="str">
        <f>AY43</f>
        <v xml:space="preserve">Base
Case </v>
      </c>
      <c r="AZ188" s="681" t="str">
        <f>AZ43</f>
        <v>CV</v>
      </c>
      <c r="BA188" s="682"/>
      <c r="BB188" s="682"/>
      <c r="BC188" s="682"/>
      <c r="BD188" s="732">
        <f t="shared" ref="BD188:BK192" si="310">BD43</f>
        <v>2024.7409595581712</v>
      </c>
      <c r="BE188" s="733">
        <f t="shared" si="310"/>
        <v>312.25271204328538</v>
      </c>
      <c r="BF188" s="733">
        <f t="shared" si="310"/>
        <v>0</v>
      </c>
      <c r="BG188" s="733">
        <f t="shared" si="310"/>
        <v>104.13165470467408</v>
      </c>
      <c r="BH188" s="733">
        <f t="shared" si="310"/>
        <v>109.0601833311037</v>
      </c>
      <c r="BI188" s="733">
        <f t="shared" si="310"/>
        <v>327.17935195742109</v>
      </c>
      <c r="BJ188" s="733">
        <f t="shared" si="310"/>
        <v>412.88420411262837</v>
      </c>
      <c r="BK188" s="734">
        <f t="shared" si="310"/>
        <v>227.045243863363</v>
      </c>
      <c r="BL188" s="754"/>
      <c r="BM188" s="733"/>
      <c r="BN188" s="733"/>
      <c r="BO188" s="682"/>
      <c r="BP188" s="682"/>
    </row>
    <row r="189" spans="51:68">
      <c r="AY189" s="891"/>
      <c r="AZ189" s="91" t="str">
        <f t="shared" ref="AZ189:AZ192" si="311">AZ44</f>
        <v>HEV</v>
      </c>
      <c r="BA189" s="32"/>
      <c r="BB189" s="32"/>
      <c r="BC189" s="32"/>
      <c r="BD189" s="735">
        <f t="shared" si="310"/>
        <v>1533.4235892112956</v>
      </c>
      <c r="BE189" s="736">
        <f t="shared" si="310"/>
        <v>309.62966328679141</v>
      </c>
      <c r="BF189" s="736">
        <f t="shared" si="310"/>
        <v>0</v>
      </c>
      <c r="BG189" s="736">
        <f t="shared" si="310"/>
        <v>85.056093960905713</v>
      </c>
      <c r="BH189" s="736">
        <f t="shared" si="310"/>
        <v>99.240449074941608</v>
      </c>
      <c r="BI189" s="736">
        <f t="shared" si="310"/>
        <v>296.12031154674804</v>
      </c>
      <c r="BJ189" s="736">
        <f t="shared" si="310"/>
        <v>485.95540241708989</v>
      </c>
      <c r="BK189" s="737">
        <f t="shared" si="310"/>
        <v>183.48724632642646</v>
      </c>
      <c r="BL189" s="755"/>
      <c r="BM189" s="736"/>
      <c r="BN189" s="736"/>
      <c r="BO189" s="32"/>
      <c r="BP189" s="32"/>
    </row>
    <row r="190" spans="51:68">
      <c r="AY190" s="891"/>
      <c r="AZ190" s="91" t="str">
        <f t="shared" si="311"/>
        <v>PHEV20</v>
      </c>
      <c r="BA190" s="32"/>
      <c r="BB190" s="32"/>
      <c r="BC190" s="32"/>
      <c r="BD190" s="735">
        <f t="shared" si="310"/>
        <v>1470.9903780410214</v>
      </c>
      <c r="BE190" s="736">
        <f t="shared" si="310"/>
        <v>226.57131861625834</v>
      </c>
      <c r="BF190" s="736">
        <f t="shared" si="310"/>
        <v>0</v>
      </c>
      <c r="BG190" s="736">
        <f t="shared" si="310"/>
        <v>82.644555338322789</v>
      </c>
      <c r="BH190" s="736">
        <f t="shared" si="310"/>
        <v>101.48096887821208</v>
      </c>
      <c r="BI190" s="736">
        <f t="shared" si="310"/>
        <v>291.66818921652788</v>
      </c>
      <c r="BJ190" s="736">
        <f t="shared" si="310"/>
        <v>556.99015577880436</v>
      </c>
      <c r="BK190" s="737">
        <f t="shared" si="310"/>
        <v>157.06115570665324</v>
      </c>
      <c r="BL190" s="755"/>
      <c r="BM190" s="736"/>
      <c r="BN190" s="736"/>
      <c r="BO190" s="32"/>
      <c r="BP190" s="32"/>
    </row>
    <row r="191" spans="51:68">
      <c r="AY191" s="891"/>
      <c r="AZ191" s="91" t="str">
        <f t="shared" si="311"/>
        <v>PHEV60</v>
      </c>
      <c r="BA191" s="32"/>
      <c r="BB191" s="32"/>
      <c r="BC191" s="32"/>
      <c r="BD191" s="735">
        <f t="shared" si="310"/>
        <v>1733.929370510444</v>
      </c>
      <c r="BE191" s="736">
        <f t="shared" si="310"/>
        <v>173.83427687643018</v>
      </c>
      <c r="BF191" s="736">
        <f t="shared" si="310"/>
        <v>0</v>
      </c>
      <c r="BG191" s="736">
        <f t="shared" si="310"/>
        <v>99.170110306203711</v>
      </c>
      <c r="BH191" s="736">
        <f t="shared" si="310"/>
        <v>122.77531596720763</v>
      </c>
      <c r="BI191" s="736">
        <f t="shared" si="310"/>
        <v>333.46407461874128</v>
      </c>
      <c r="BJ191" s="736">
        <f t="shared" si="310"/>
        <v>895.9992717436171</v>
      </c>
      <c r="BK191" s="737">
        <f t="shared" si="310"/>
        <v>141.14460618054966</v>
      </c>
      <c r="BL191" s="755"/>
      <c r="BM191" s="736"/>
      <c r="BN191" s="736"/>
      <c r="BO191" s="32"/>
      <c r="BP191" s="32"/>
    </row>
    <row r="192" spans="51:68">
      <c r="AY192" s="892"/>
      <c r="AZ192" s="683" t="str">
        <f t="shared" si="311"/>
        <v>BEV240</v>
      </c>
      <c r="BA192" s="28"/>
      <c r="BB192" s="28"/>
      <c r="BC192" s="28"/>
      <c r="BD192" s="738">
        <f t="shared" si="310"/>
        <v>1823.8017153265005</v>
      </c>
      <c r="BE192" s="739">
        <f t="shared" si="310"/>
        <v>17.869358676122928</v>
      </c>
      <c r="BF192" s="739">
        <f t="shared" si="310"/>
        <v>0</v>
      </c>
      <c r="BG192" s="739">
        <f t="shared" si="310"/>
        <v>128.73367902891709</v>
      </c>
      <c r="BH192" s="739">
        <f t="shared" si="310"/>
        <v>199.86763473738299</v>
      </c>
      <c r="BI192" s="739">
        <f t="shared" si="310"/>
        <v>475.91261374108592</v>
      </c>
      <c r="BJ192" s="739">
        <f t="shared" si="310"/>
        <v>1938.8143695072956</v>
      </c>
      <c r="BK192" s="740">
        <f t="shared" si="310"/>
        <v>82.475839194839338</v>
      </c>
      <c r="BL192" s="756"/>
      <c r="BM192" s="739"/>
      <c r="BN192" s="739"/>
      <c r="BO192" s="28"/>
      <c r="BP192" s="28"/>
    </row>
    <row r="193" spans="51:68">
      <c r="AY193" s="679" t="s">
        <v>241</v>
      </c>
      <c r="AZ193" s="91"/>
      <c r="BA193" s="32"/>
      <c r="BB193" s="32"/>
      <c r="BC193" s="32"/>
      <c r="BD193" s="677"/>
      <c r="BE193" s="679"/>
      <c r="BF193" s="679"/>
      <c r="BG193" s="679"/>
      <c r="BH193" s="679"/>
      <c r="BI193" s="679"/>
      <c r="BJ193" s="679"/>
      <c r="BK193" s="678"/>
      <c r="BL193" s="757"/>
      <c r="BM193" s="766"/>
      <c r="BN193" s="766"/>
      <c r="BO193" s="32"/>
      <c r="BP193" s="32"/>
    </row>
    <row r="194" spans="51:68">
      <c r="AY194" s="890" t="str">
        <f>AY49</f>
        <v>Grid Mix
Cases</v>
      </c>
      <c r="AZ194" s="681" t="str">
        <f>AZ49</f>
        <v>CV</v>
      </c>
      <c r="BA194" s="682">
        <f>BA49</f>
        <v>4801.5346124455709</v>
      </c>
      <c r="BB194" s="682">
        <f>BB49</f>
        <v>4801.5346124455709</v>
      </c>
      <c r="BC194" s="682">
        <f>BC49</f>
        <v>4801.5346124455709</v>
      </c>
      <c r="BD194" s="697"/>
      <c r="BE194" s="694"/>
      <c r="BF194" s="694"/>
      <c r="BG194" s="694"/>
      <c r="BH194" s="694"/>
      <c r="BI194" s="694"/>
      <c r="BJ194" s="694"/>
      <c r="BK194" s="700"/>
      <c r="BL194" s="758"/>
      <c r="BM194" s="694"/>
      <c r="BN194" s="694"/>
      <c r="BO194" s="682">
        <f t="shared" ref="BO194:BP198" si="312">BO49</f>
        <v>0</v>
      </c>
      <c r="BP194" s="682">
        <f t="shared" si="312"/>
        <v>0</v>
      </c>
    </row>
    <row r="195" spans="51:68">
      <c r="AY195" s="891"/>
      <c r="AZ195" s="91" t="str">
        <f t="shared" ref="AZ195" si="313">AZ50</f>
        <v>HEV</v>
      </c>
      <c r="BA195" s="32">
        <f t="shared" ref="BA195:BC198" si="314">BA50</f>
        <v>3910.2272578777161</v>
      </c>
      <c r="BB195" s="32">
        <f t="shared" si="314"/>
        <v>3910.2272578777161</v>
      </c>
      <c r="BC195" s="32">
        <f t="shared" si="314"/>
        <v>3910.2272578777161</v>
      </c>
      <c r="BD195" s="698"/>
      <c r="BE195" s="695"/>
      <c r="BF195" s="695"/>
      <c r="BG195" s="695"/>
      <c r="BH195" s="695"/>
      <c r="BI195" s="695"/>
      <c r="BJ195" s="695"/>
      <c r="BK195" s="701"/>
      <c r="BL195" s="759"/>
      <c r="BM195" s="695"/>
      <c r="BN195" s="695"/>
      <c r="BO195" s="32">
        <f t="shared" si="312"/>
        <v>0</v>
      </c>
      <c r="BP195" s="32">
        <f t="shared" si="312"/>
        <v>0</v>
      </c>
    </row>
    <row r="196" spans="51:68">
      <c r="AY196" s="891"/>
      <c r="AZ196" s="91" t="str">
        <f t="shared" ref="AZ196" si="315">AZ51</f>
        <v>PHEV20</v>
      </c>
      <c r="BA196" s="32">
        <f t="shared" si="314"/>
        <v>3632.7889258841947</v>
      </c>
      <c r="BB196" s="32">
        <f t="shared" si="314"/>
        <v>3370.0383139340011</v>
      </c>
      <c r="BC196" s="32">
        <f t="shared" si="314"/>
        <v>4087.298104563889</v>
      </c>
      <c r="BD196" s="698"/>
      <c r="BE196" s="695"/>
      <c r="BF196" s="695"/>
      <c r="BG196" s="695"/>
      <c r="BH196" s="695"/>
      <c r="BI196" s="695"/>
      <c r="BJ196" s="695"/>
      <c r="BK196" s="701"/>
      <c r="BL196" s="759"/>
      <c r="BM196" s="695"/>
      <c r="BN196" s="695"/>
      <c r="BO196" s="32">
        <f t="shared" si="312"/>
        <v>262.75061195019362</v>
      </c>
      <c r="BP196" s="32">
        <f t="shared" si="312"/>
        <v>454.50917867969429</v>
      </c>
    </row>
    <row r="197" spans="51:68">
      <c r="AY197" s="891"/>
      <c r="AZ197" s="91" t="str">
        <f t="shared" ref="AZ197" si="316">AZ52</f>
        <v>PHEV60</v>
      </c>
      <c r="BA197" s="32">
        <f t="shared" si="314"/>
        <v>4145.8901532997616</v>
      </c>
      <c r="BB197" s="32">
        <f t="shared" si="314"/>
        <v>3373.8760335020688</v>
      </c>
      <c r="BC197" s="32">
        <f t="shared" si="314"/>
        <v>5481.3294921999168</v>
      </c>
      <c r="BD197" s="698"/>
      <c r="BE197" s="695"/>
      <c r="BF197" s="695"/>
      <c r="BG197" s="695"/>
      <c r="BH197" s="695"/>
      <c r="BI197" s="695"/>
      <c r="BJ197" s="695"/>
      <c r="BK197" s="701"/>
      <c r="BL197" s="759"/>
      <c r="BM197" s="695"/>
      <c r="BN197" s="695"/>
      <c r="BO197" s="32">
        <f t="shared" si="312"/>
        <v>772.01411979769273</v>
      </c>
      <c r="BP197" s="32">
        <f t="shared" si="312"/>
        <v>1335.4393389001552</v>
      </c>
    </row>
    <row r="198" spans="51:68">
      <c r="AY198" s="892"/>
      <c r="AZ198" s="683" t="str">
        <f t="shared" ref="AZ198" si="317">AZ53</f>
        <v>BEV240</v>
      </c>
      <c r="BA198" s="28">
        <f t="shared" si="314"/>
        <v>4667.4752102121438</v>
      </c>
      <c r="BB198" s="28">
        <f t="shared" si="314"/>
        <v>2905.4301141452202</v>
      </c>
      <c r="BC198" s="28">
        <f t="shared" si="314"/>
        <v>7715.4820767452402</v>
      </c>
      <c r="BD198" s="699"/>
      <c r="BE198" s="696"/>
      <c r="BF198" s="696"/>
      <c r="BG198" s="696"/>
      <c r="BH198" s="696"/>
      <c r="BI198" s="696"/>
      <c r="BJ198" s="696"/>
      <c r="BK198" s="702"/>
      <c r="BL198" s="760"/>
      <c r="BM198" s="696"/>
      <c r="BN198" s="696"/>
      <c r="BO198" s="28">
        <f t="shared" si="312"/>
        <v>1762.0450960669236</v>
      </c>
      <c r="BP198" s="28">
        <f t="shared" si="312"/>
        <v>3048.0068665330964</v>
      </c>
    </row>
    <row r="199" spans="51:68">
      <c r="AY199" s="679" t="s">
        <v>241</v>
      </c>
      <c r="AZ199" s="91"/>
      <c r="BA199" s="32"/>
      <c r="BB199" s="32"/>
      <c r="BC199" s="32"/>
      <c r="BD199" s="677"/>
      <c r="BE199" s="679"/>
      <c r="BF199" s="679"/>
      <c r="BG199" s="679"/>
      <c r="BH199" s="679"/>
      <c r="BI199" s="679"/>
      <c r="BJ199" s="679"/>
      <c r="BK199" s="678"/>
      <c r="BL199" s="757"/>
      <c r="BM199" s="766"/>
      <c r="BN199" s="766"/>
      <c r="BO199" s="32"/>
      <c r="BP199" s="32"/>
    </row>
    <row r="200" spans="51:68">
      <c r="AY200" s="890" t="str">
        <f>AY109</f>
        <v>Driving Location Cases</v>
      </c>
      <c r="AZ200" s="681" t="str">
        <f>AZ109</f>
        <v>CV</v>
      </c>
      <c r="BA200" s="682">
        <f>BA109</f>
        <v>4801.5346124455709</v>
      </c>
      <c r="BB200" s="682">
        <f>BB109</f>
        <v>4303.7869450633434</v>
      </c>
      <c r="BC200" s="682">
        <f>BC109</f>
        <v>6697.6196125010074</v>
      </c>
      <c r="BD200" s="697"/>
      <c r="BE200" s="694"/>
      <c r="BF200" s="694"/>
      <c r="BG200" s="694"/>
      <c r="BH200" s="694"/>
      <c r="BI200" s="694"/>
      <c r="BJ200" s="694"/>
      <c r="BK200" s="700"/>
      <c r="BL200" s="758"/>
      <c r="BM200" s="694"/>
      <c r="BN200" s="694"/>
      <c r="BO200" s="682">
        <f t="shared" ref="BO200:BP204" si="318">BO109</f>
        <v>497.74766738222752</v>
      </c>
      <c r="BP200" s="682">
        <f t="shared" si="318"/>
        <v>1896.0850000554365</v>
      </c>
    </row>
    <row r="201" spans="51:68">
      <c r="AY201" s="891"/>
      <c r="AZ201" s="91" t="str">
        <f t="shared" ref="AZ201:AZ204" si="319">AZ110</f>
        <v>HEV</v>
      </c>
      <c r="BA201" s="32">
        <f t="shared" ref="BA201:BC204" si="320">BA110</f>
        <v>3910.2272578777161</v>
      </c>
      <c r="BB201" s="32">
        <f t="shared" si="320"/>
        <v>3441.5908813958449</v>
      </c>
      <c r="BC201" s="32">
        <f t="shared" si="320"/>
        <v>5681.9958077039519</v>
      </c>
      <c r="BD201" s="698"/>
      <c r="BE201" s="695"/>
      <c r="BF201" s="695"/>
      <c r="BG201" s="695"/>
      <c r="BH201" s="695"/>
      <c r="BI201" s="695"/>
      <c r="BJ201" s="695"/>
      <c r="BK201" s="701"/>
      <c r="BL201" s="759"/>
      <c r="BM201" s="695"/>
      <c r="BN201" s="695"/>
      <c r="BO201" s="32">
        <f t="shared" si="318"/>
        <v>468.63637648187114</v>
      </c>
      <c r="BP201" s="32">
        <f t="shared" si="318"/>
        <v>1771.7685498262358</v>
      </c>
    </row>
    <row r="202" spans="51:68">
      <c r="AY202" s="891"/>
      <c r="AZ202" s="91" t="str">
        <f t="shared" si="319"/>
        <v>PHEV20</v>
      </c>
      <c r="BA202" s="32">
        <f t="shared" si="320"/>
        <v>3632.7889258841947</v>
      </c>
      <c r="BB202" s="32">
        <f t="shared" si="320"/>
        <v>3278.0495496322947</v>
      </c>
      <c r="BC202" s="32">
        <f t="shared" si="320"/>
        <v>4979.6432883898633</v>
      </c>
      <c r="BD202" s="698"/>
      <c r="BE202" s="695"/>
      <c r="BF202" s="695"/>
      <c r="BG202" s="695"/>
      <c r="BH202" s="695"/>
      <c r="BI202" s="695"/>
      <c r="BJ202" s="695"/>
      <c r="BK202" s="701"/>
      <c r="BL202" s="759"/>
      <c r="BM202" s="695"/>
      <c r="BN202" s="695"/>
      <c r="BO202" s="32">
        <f t="shared" si="318"/>
        <v>354.73937625190001</v>
      </c>
      <c r="BP202" s="32">
        <f t="shared" si="318"/>
        <v>1346.8543625056686</v>
      </c>
    </row>
    <row r="203" spans="51:68">
      <c r="AY203" s="891"/>
      <c r="AZ203" s="91" t="str">
        <f t="shared" si="319"/>
        <v>PHEV60</v>
      </c>
      <c r="BA203" s="32">
        <f t="shared" si="320"/>
        <v>4145.8901532997616</v>
      </c>
      <c r="BB203" s="32">
        <f t="shared" si="320"/>
        <v>3863.8057497200984</v>
      </c>
      <c r="BC203" s="32">
        <f t="shared" si="320"/>
        <v>5221.6914713399337</v>
      </c>
      <c r="BD203" s="698"/>
      <c r="BE203" s="695"/>
      <c r="BF203" s="695"/>
      <c r="BG203" s="695"/>
      <c r="BH203" s="695"/>
      <c r="BI203" s="695"/>
      <c r="BJ203" s="695"/>
      <c r="BK203" s="701"/>
      <c r="BL203" s="759"/>
      <c r="BM203" s="695"/>
      <c r="BN203" s="695"/>
      <c r="BO203" s="32">
        <f t="shared" si="318"/>
        <v>282.0844035796631</v>
      </c>
      <c r="BP203" s="32">
        <f t="shared" si="318"/>
        <v>1075.8013180401722</v>
      </c>
    </row>
    <row r="204" spans="51:68">
      <c r="AY204" s="892"/>
      <c r="AZ204" s="683" t="str">
        <f t="shared" si="319"/>
        <v>BEV240</v>
      </c>
      <c r="BA204" s="28">
        <f t="shared" si="320"/>
        <v>4667.4752102121438</v>
      </c>
      <c r="BB204" s="28">
        <f t="shared" si="320"/>
        <v>4600.0258722296448</v>
      </c>
      <c r="BC204" s="28">
        <f t="shared" si="320"/>
        <v>4942.5400357672734</v>
      </c>
      <c r="BD204" s="699"/>
      <c r="BE204" s="696"/>
      <c r="BF204" s="696"/>
      <c r="BG204" s="696"/>
      <c r="BH204" s="696"/>
      <c r="BI204" s="696"/>
      <c r="BJ204" s="696"/>
      <c r="BK204" s="702"/>
      <c r="BL204" s="760"/>
      <c r="BM204" s="696"/>
      <c r="BN204" s="696"/>
      <c r="BO204" s="28">
        <f t="shared" si="318"/>
        <v>67.449337982498946</v>
      </c>
      <c r="BP204" s="28">
        <f t="shared" si="318"/>
        <v>275.06482555512957</v>
      </c>
    </row>
    <row r="205" spans="51:68">
      <c r="AY205" s="679" t="s">
        <v>241</v>
      </c>
      <c r="AZ205" s="91"/>
      <c r="BA205" s="32"/>
      <c r="BB205" s="32"/>
      <c r="BC205" s="32"/>
      <c r="BD205" s="677"/>
      <c r="BE205" s="679"/>
      <c r="BF205" s="679"/>
      <c r="BG205" s="679"/>
      <c r="BH205" s="679"/>
      <c r="BI205" s="679"/>
      <c r="BJ205" s="679"/>
      <c r="BK205" s="678"/>
      <c r="BL205" s="757"/>
      <c r="BM205" s="766"/>
      <c r="BN205" s="766"/>
      <c r="BO205" s="32"/>
      <c r="BP205" s="32"/>
    </row>
    <row r="206" spans="51:68">
      <c r="AY206" s="890" t="str">
        <f>AY103</f>
        <v>Li-ion Battery
Life Cases</v>
      </c>
      <c r="AZ206" s="681" t="str">
        <f>AZ103</f>
        <v>CV</v>
      </c>
      <c r="BA206" s="682">
        <f>BA103</f>
        <v>4801.5346124455709</v>
      </c>
      <c r="BB206" s="682">
        <f>BB103</f>
        <v>4801.5346124455709</v>
      </c>
      <c r="BC206" s="682">
        <f>BC103</f>
        <v>4801.5346124455709</v>
      </c>
      <c r="BD206" s="697"/>
      <c r="BE206" s="694"/>
      <c r="BF206" s="694"/>
      <c r="BG206" s="694"/>
      <c r="BH206" s="694"/>
      <c r="BI206" s="694"/>
      <c r="BJ206" s="694"/>
      <c r="BK206" s="700"/>
      <c r="BL206" s="758"/>
      <c r="BM206" s="694"/>
      <c r="BN206" s="694"/>
      <c r="BO206" s="682">
        <f t="shared" ref="BO206:BP210" si="321">BO103</f>
        <v>0</v>
      </c>
      <c r="BP206" s="682">
        <f t="shared" si="321"/>
        <v>0</v>
      </c>
    </row>
    <row r="207" spans="51:68">
      <c r="AY207" s="891"/>
      <c r="AZ207" s="91" t="str">
        <f t="shared" ref="AZ207:AZ210" si="322">AZ104</f>
        <v>HEV</v>
      </c>
      <c r="BA207" s="32">
        <f t="shared" ref="BA207:BC210" si="323">BA104</f>
        <v>3910.2272578777161</v>
      </c>
      <c r="BB207" s="32">
        <f t="shared" si="323"/>
        <v>3910.2272578777161</v>
      </c>
      <c r="BC207" s="32">
        <f t="shared" si="323"/>
        <v>3910.2272578777161</v>
      </c>
      <c r="BD207" s="698"/>
      <c r="BE207" s="695"/>
      <c r="BF207" s="695"/>
      <c r="BG207" s="695"/>
      <c r="BH207" s="695"/>
      <c r="BI207" s="695"/>
      <c r="BJ207" s="695"/>
      <c r="BK207" s="701"/>
      <c r="BL207" s="759"/>
      <c r="BM207" s="695"/>
      <c r="BN207" s="695"/>
      <c r="BO207" s="32">
        <f t="shared" si="321"/>
        <v>0</v>
      </c>
      <c r="BP207" s="32">
        <f t="shared" si="321"/>
        <v>0</v>
      </c>
    </row>
    <row r="208" spans="51:68">
      <c r="AY208" s="891"/>
      <c r="AZ208" s="91" t="str">
        <f t="shared" si="322"/>
        <v>PHEV20</v>
      </c>
      <c r="BA208" s="32">
        <f t="shared" si="323"/>
        <v>3632.7889258841947</v>
      </c>
      <c r="BB208" s="32">
        <f t="shared" si="323"/>
        <v>3721.3997336908124</v>
      </c>
      <c r="BC208" s="32">
        <f t="shared" si="323"/>
        <v>3632.7889258841947</v>
      </c>
      <c r="BD208" s="698"/>
      <c r="BE208" s="695"/>
      <c r="BF208" s="695"/>
      <c r="BG208" s="695"/>
      <c r="BH208" s="695"/>
      <c r="BI208" s="695"/>
      <c r="BJ208" s="695"/>
      <c r="BK208" s="701"/>
      <c r="BL208" s="759"/>
      <c r="BM208" s="695"/>
      <c r="BN208" s="695"/>
      <c r="BO208" s="32">
        <f t="shared" si="321"/>
        <v>-88.610807806617686</v>
      </c>
      <c r="BP208" s="32">
        <f t="shared" si="321"/>
        <v>0</v>
      </c>
    </row>
    <row r="209" spans="51:68">
      <c r="AY209" s="891"/>
      <c r="AZ209" s="91" t="str">
        <f t="shared" si="322"/>
        <v>PHEV60</v>
      </c>
      <c r="BA209" s="32">
        <f t="shared" si="323"/>
        <v>4145.8901532997616</v>
      </c>
      <c r="BB209" s="32">
        <f t="shared" si="323"/>
        <v>4449.8044436715054</v>
      </c>
      <c r="BC209" s="32">
        <f t="shared" si="323"/>
        <v>4145.8901532997616</v>
      </c>
      <c r="BD209" s="698"/>
      <c r="BE209" s="695"/>
      <c r="BF209" s="695"/>
      <c r="BG209" s="695"/>
      <c r="BH209" s="695"/>
      <c r="BI209" s="695"/>
      <c r="BJ209" s="695"/>
      <c r="BK209" s="701"/>
      <c r="BL209" s="759"/>
      <c r="BM209" s="695"/>
      <c r="BN209" s="695"/>
      <c r="BO209" s="32">
        <f t="shared" si="321"/>
        <v>-303.91429037174385</v>
      </c>
      <c r="BP209" s="32">
        <f t="shared" si="321"/>
        <v>0</v>
      </c>
    </row>
    <row r="210" spans="51:68">
      <c r="AY210" s="892"/>
      <c r="AZ210" s="683" t="str">
        <f t="shared" si="322"/>
        <v>BEV240</v>
      </c>
      <c r="BA210" s="28">
        <f t="shared" si="323"/>
        <v>4667.4752102121438</v>
      </c>
      <c r="BB210" s="28">
        <f t="shared" si="323"/>
        <v>5898.1858128104841</v>
      </c>
      <c r="BC210" s="28">
        <f t="shared" si="323"/>
        <v>4667.4752102121438</v>
      </c>
      <c r="BD210" s="699"/>
      <c r="BE210" s="696"/>
      <c r="BF210" s="696"/>
      <c r="BG210" s="696"/>
      <c r="BH210" s="696"/>
      <c r="BI210" s="696"/>
      <c r="BJ210" s="696"/>
      <c r="BK210" s="702"/>
      <c r="BL210" s="760"/>
      <c r="BM210" s="696"/>
      <c r="BN210" s="696"/>
      <c r="BO210" s="28">
        <f t="shared" si="321"/>
        <v>-1230.7106025983403</v>
      </c>
      <c r="BP210" s="28">
        <f t="shared" si="321"/>
        <v>0</v>
      </c>
    </row>
  </sheetData>
  <mergeCells count="113">
    <mergeCell ref="AY49:AY53"/>
    <mergeCell ref="I50:J50"/>
    <mergeCell ref="I47:J47"/>
    <mergeCell ref="I51:J51"/>
    <mergeCell ref="I52:J52"/>
    <mergeCell ref="BR32:BR36"/>
    <mergeCell ref="BR38:BR42"/>
    <mergeCell ref="AP62:AP66"/>
    <mergeCell ref="AP44:AP48"/>
    <mergeCell ref="AP56:AP60"/>
    <mergeCell ref="K44:L44"/>
    <mergeCell ref="K45:L45"/>
    <mergeCell ref="K46:L46"/>
    <mergeCell ref="BR44:BR48"/>
    <mergeCell ref="BR50:BR54"/>
    <mergeCell ref="BR56:BR60"/>
    <mergeCell ref="BR62:BR66"/>
    <mergeCell ref="B6:D6"/>
    <mergeCell ref="B21:D21"/>
    <mergeCell ref="B20:D20"/>
    <mergeCell ref="B19:D19"/>
    <mergeCell ref="B13:D13"/>
    <mergeCell ref="B9:D9"/>
    <mergeCell ref="B7:D7"/>
    <mergeCell ref="B10:D10"/>
    <mergeCell ref="B8:D8"/>
    <mergeCell ref="B11:D11"/>
    <mergeCell ref="B15:D15"/>
    <mergeCell ref="B16:D16"/>
    <mergeCell ref="B12:D12"/>
    <mergeCell ref="B14:D14"/>
    <mergeCell ref="B23:D23"/>
    <mergeCell ref="B18:D18"/>
    <mergeCell ref="B17:D17"/>
    <mergeCell ref="G31:G36"/>
    <mergeCell ref="G25:G30"/>
    <mergeCell ref="G19:G24"/>
    <mergeCell ref="G13:G18"/>
    <mergeCell ref="B28:D28"/>
    <mergeCell ref="B25:D25"/>
    <mergeCell ref="B22:D22"/>
    <mergeCell ref="B27:D27"/>
    <mergeCell ref="B26:D26"/>
    <mergeCell ref="B24:D24"/>
    <mergeCell ref="G7:G12"/>
    <mergeCell ref="AR5:AT5"/>
    <mergeCell ref="AU5:AW5"/>
    <mergeCell ref="BR26:BR30"/>
    <mergeCell ref="Y78:Y82"/>
    <mergeCell ref="Y58:Y62"/>
    <mergeCell ref="Y63:Y67"/>
    <mergeCell ref="AY85:AY89"/>
    <mergeCell ref="AY91:AY95"/>
    <mergeCell ref="AP8:AP12"/>
    <mergeCell ref="BR68:BR72"/>
    <mergeCell ref="I5:P5"/>
    <mergeCell ref="Q5:S5"/>
    <mergeCell ref="T5:T6"/>
    <mergeCell ref="AP14:AP18"/>
    <mergeCell ref="AP20:AP24"/>
    <mergeCell ref="AP26:AP30"/>
    <mergeCell ref="I43:J43"/>
    <mergeCell ref="K43:L43"/>
    <mergeCell ref="AY73:AY77"/>
    <mergeCell ref="AY43:AY47"/>
    <mergeCell ref="AY55:AY59"/>
    <mergeCell ref="AY61:AY65"/>
    <mergeCell ref="AY67:AY71"/>
    <mergeCell ref="Y68:Y72"/>
    <mergeCell ref="Y73:Y77"/>
    <mergeCell ref="I44:J44"/>
    <mergeCell ref="I45:J45"/>
    <mergeCell ref="I46:J46"/>
    <mergeCell ref="I48:J48"/>
    <mergeCell ref="I49:J49"/>
    <mergeCell ref="AP32:AP36"/>
    <mergeCell ref="AP38:AP42"/>
    <mergeCell ref="AP74:AP78"/>
    <mergeCell ref="AP50:AP54"/>
    <mergeCell ref="AP68:AP72"/>
    <mergeCell ref="K47:L47"/>
    <mergeCell ref="K48:L48"/>
    <mergeCell ref="K49:L49"/>
    <mergeCell ref="K50:L50"/>
    <mergeCell ref="K51:L51"/>
    <mergeCell ref="K52:L52"/>
    <mergeCell ref="AP104:AP108"/>
    <mergeCell ref="AP110:AP114"/>
    <mergeCell ref="AY127:AY131"/>
    <mergeCell ref="AP98:AP102"/>
    <mergeCell ref="AP92:AP96"/>
    <mergeCell ref="AP116:AP120"/>
    <mergeCell ref="AP86:AP90"/>
    <mergeCell ref="AY133:AY137"/>
    <mergeCell ref="BR74:BR78"/>
    <mergeCell ref="BR80:BR84"/>
    <mergeCell ref="BR86:BR90"/>
    <mergeCell ref="AY79:AY83"/>
    <mergeCell ref="AY97:AY101"/>
    <mergeCell ref="AP80:AP84"/>
    <mergeCell ref="AY200:AY204"/>
    <mergeCell ref="AY206:AY210"/>
    <mergeCell ref="AY103:AY107"/>
    <mergeCell ref="AY188:AY192"/>
    <mergeCell ref="AY194:AY198"/>
    <mergeCell ref="AY109:AY113"/>
    <mergeCell ref="AY115:AY119"/>
    <mergeCell ref="AY121:AY125"/>
    <mergeCell ref="BR121:BR125"/>
    <mergeCell ref="BR127:BR131"/>
    <mergeCell ref="BR133:BR137"/>
    <mergeCell ref="BR115:BR119"/>
    <mergeCell ref="AY139:AY143"/>
  </mergeCells>
  <dataValidations count="20">
    <dataValidation type="list" allowBlank="1" showInputMessage="1" showErrorMessage="1" sqref="B21:D21">
      <formula1>OwnershipCost!A16:A45</formula1>
    </dataValidation>
    <dataValidation type="list" allowBlank="1" showInputMessage="1" showErrorMessage="1" sqref="B7:D7">
      <formula1>Electricity!D23:D26</formula1>
    </dataValidation>
    <dataValidation type="list" allowBlank="1" showInputMessage="1" showErrorMessage="1" sqref="B8:D8">
      <formula1>Electricity!B26:B27</formula1>
    </dataValidation>
    <dataValidation type="list" allowBlank="1" showInputMessage="1" showErrorMessage="1" sqref="B9:D9">
      <formula1>Gasoline!E29:E32</formula1>
    </dataValidation>
    <dataValidation type="list" allowBlank="1" showInputMessage="1" showErrorMessage="1" sqref="B10:D10">
      <formula1>Gasoline!E87:E90</formula1>
    </dataValidation>
    <dataValidation type="list" allowBlank="1" showInputMessage="1" showErrorMessage="1" sqref="B11:D11">
      <formula1>Gasoline!B81:B83</formula1>
    </dataValidation>
    <dataValidation type="list" allowBlank="1" showInputMessage="1" showErrorMessage="1" sqref="B12:D12">
      <formula1>Gasoline!D13:D15</formula1>
    </dataValidation>
    <dataValidation type="list" allowBlank="1" showInputMessage="1" showErrorMessage="1" sqref="B15:D15">
      <formula1>Manufacturing!C30:C32</formula1>
    </dataValidation>
    <dataValidation type="list" allowBlank="1" showInputMessage="1" showErrorMessage="1" sqref="B13:D13">
      <formula1>Manufacturing!D106:D109</formula1>
    </dataValidation>
    <dataValidation type="list" allowBlank="1" showInputMessage="1" showErrorMessage="1" sqref="B14:D14">
      <formula1>Manufacturing!D155:D159</formula1>
    </dataValidation>
    <dataValidation type="list" allowBlank="1" showInputMessage="1" showErrorMessage="1" sqref="B16:D16">
      <formula1>Vehicle!A29:A45</formula1>
    </dataValidation>
    <dataValidation type="list" allowBlank="1" showInputMessage="1" showErrorMessage="1" sqref="B19:D19">
      <formula1>Vehicle!A16:A22</formula1>
    </dataValidation>
    <dataValidation type="list" allowBlank="1" showInputMessage="1" showErrorMessage="1" sqref="B20:D20">
      <formula1>AER!A7:A26</formula1>
    </dataValidation>
    <dataValidation type="list" allowBlank="1" showInputMessage="1" showErrorMessage="1" sqref="B22:D22">
      <formula1>OwnershipCost!R16:R19</formula1>
    </dataValidation>
    <dataValidation type="list" allowBlank="1" showInputMessage="1" showErrorMessage="1" sqref="B23:D23">
      <formula1>OwnershipCost!O16:O18</formula1>
    </dataValidation>
    <dataValidation type="list" allowBlank="1" showInputMessage="1" showErrorMessage="1" sqref="B24:D24">
      <formula1>Charger!A11:A13</formula1>
    </dataValidation>
    <dataValidation type="list" allowBlank="1" showInputMessage="1" showErrorMessage="1" sqref="B25:D25">
      <formula1>Valuation!B12:B18</formula1>
    </dataValidation>
    <dataValidation type="list" allowBlank="1" showInputMessage="1" showErrorMessage="1" sqref="B26:D26">
      <formula1>Valuation!B22:B25</formula1>
    </dataValidation>
    <dataValidation type="list" allowBlank="1" showInputMessage="1" showErrorMessage="1" sqref="B27:D27">
      <formula1>Valuation!B29:B33</formula1>
    </dataValidation>
    <dataValidation type="list" allowBlank="1" showInputMessage="1" showErrorMessage="1" sqref="B28:D28">
      <formula1>Valuation!B5:B8</formula1>
    </dataValidation>
  </dataValidations>
  <pageMargins left="0.7" right="0.7" top="0.75" bottom="0.75" header="0.3" footer="0.3"/>
  <pageSetup scale="58" fitToWidth="2" orientation="portrait" r:id="rId1"/>
  <drawing r:id="rId2"/>
  <legacyDrawing r:id="rId3"/>
  <extLst xmlns:x14="http://schemas.microsoft.com/office/spreadsheetml/2009/9/main">
    <ext uri="{CCE6A557-97BC-4b89-ADB6-D9C93CAAB3DF}">
      <x14:dataValidations xmlns:xm="http://schemas.microsoft.com/office/excel/2006/main" count="21">
        <x14:dataValidation type="list" allowBlank="1" showInputMessage="1" showErrorMessage="1">
          <x14:formula1>
            <xm:f>Deflator!B9:B96</xm:f>
          </x14:formula1>
          <xm:sqref>B35</xm:sqref>
        </x14:dataValidation>
        <x14:dataValidation type="list" allowBlank="1" showInputMessage="1" showErrorMessage="1">
          <x14:formula1>
            <xm:f>Valuation!B5:B8</xm:f>
          </x14:formula1>
          <xm:sqref>B28:D28</xm:sqref>
        </x14:dataValidation>
        <x14:dataValidation type="list" allowBlank="1" showInputMessage="1" showErrorMessage="1">
          <x14:formula1>
            <xm:f>Vehicle!A16:A22</xm:f>
          </x14:formula1>
          <xm:sqref>B19</xm:sqref>
        </x14:dataValidation>
        <x14:dataValidation type="list" allowBlank="1" showInputMessage="1" showErrorMessage="1">
          <x14:formula1>
            <xm:f>Vehicle!A29:A45</xm:f>
          </x14:formula1>
          <xm:sqref>B16</xm:sqref>
        </x14:dataValidation>
        <x14:dataValidation type="list" allowBlank="1" showInputMessage="1" showErrorMessage="1">
          <x14:formula1>
            <xm:f>AER!A7:A26</xm:f>
          </x14:formula1>
          <xm:sqref>B20</xm:sqref>
        </x14:dataValidation>
        <x14:dataValidation type="list" allowBlank="1" showInputMessage="1" showErrorMessage="1">
          <x14:formula1>
            <xm:f>OwnershipCost!A16:A45</xm:f>
          </x14:formula1>
          <xm:sqref>B21</xm:sqref>
        </x14:dataValidation>
        <x14:dataValidation type="list" allowBlank="1" showInputMessage="1" showErrorMessage="1">
          <x14:formula1>
            <xm:f>OwnershipCost!O16:O47</xm:f>
          </x14:formula1>
          <xm:sqref>B23:D23</xm:sqref>
        </x14:dataValidation>
        <x14:dataValidation type="list" allowBlank="1" showInputMessage="1" showErrorMessage="1">
          <x14:formula1>
            <xm:f>OwnershipCost!R16:R158</xm:f>
          </x14:formula1>
          <xm:sqref>B22:D22</xm:sqref>
        </x14:dataValidation>
        <x14:dataValidation type="list" allowBlank="1" showInputMessage="1" showErrorMessage="1">
          <x14:formula1>
            <xm:f>Manufacturing!C30:C32</xm:f>
          </x14:formula1>
          <xm:sqref>B15:D15</xm:sqref>
        </x14:dataValidation>
        <x14:dataValidation type="list" allowBlank="1" showInputMessage="1" showErrorMessage="1">
          <x14:formula1>
            <xm:f>Gasoline!D13:D15</xm:f>
          </x14:formula1>
          <xm:sqref>B12:D12</xm:sqref>
        </x14:dataValidation>
        <x14:dataValidation type="list" allowBlank="1" showInputMessage="1" showErrorMessage="1">
          <x14:formula1>
            <xm:f>Gasoline!E87:E90</xm:f>
          </x14:formula1>
          <xm:sqref>B10:D10</xm:sqref>
        </x14:dataValidation>
        <x14:dataValidation type="list" allowBlank="1" showInputMessage="1" showErrorMessage="1">
          <x14:formula1>
            <xm:f>Gasoline!E29:E32</xm:f>
          </x14:formula1>
          <xm:sqref>B9:D9</xm:sqref>
        </x14:dataValidation>
        <x14:dataValidation type="list" allowBlank="1" showInputMessage="1" showErrorMessage="1">
          <x14:formula1>
            <xm:f>Gasoline!B81:B83</xm:f>
          </x14:formula1>
          <xm:sqref>B11:D11</xm:sqref>
        </x14:dataValidation>
        <x14:dataValidation type="list" allowBlank="1" showInputMessage="1" showErrorMessage="1">
          <x14:formula1>
            <xm:f>Manufacturing!D155:D159</xm:f>
          </x14:formula1>
          <xm:sqref>B14:D14</xm:sqref>
        </x14:dataValidation>
        <x14:dataValidation type="list" allowBlank="1" showInputMessage="1" showErrorMessage="1">
          <x14:formula1>
            <xm:f>Manufacturing!D106:D109</xm:f>
          </x14:formula1>
          <xm:sqref>B13:D13</xm:sqref>
        </x14:dataValidation>
        <x14:dataValidation type="list" allowBlank="1" showInputMessage="1" showErrorMessage="1">
          <x14:formula1>
            <xm:f>Electricity!B26:B27</xm:f>
          </x14:formula1>
          <xm:sqref>B8:D8</xm:sqref>
        </x14:dataValidation>
        <x14:dataValidation type="list" allowBlank="1" showInputMessage="1" showErrorMessage="1">
          <x14:formula1>
            <xm:f>Electricity!D23:D26</xm:f>
          </x14:formula1>
          <xm:sqref>B7:D7</xm:sqref>
        </x14:dataValidation>
        <x14:dataValidation type="list" allowBlank="1" showInputMessage="1" showErrorMessage="1">
          <x14:formula1>
            <xm:f>Valuation!B12:B18</xm:f>
          </x14:formula1>
          <xm:sqref>B25:D25</xm:sqref>
        </x14:dataValidation>
        <x14:dataValidation type="list" allowBlank="1" showInputMessage="1" showErrorMessage="1">
          <x14:formula1>
            <xm:f>Valuation!B22:B25</xm:f>
          </x14:formula1>
          <xm:sqref>B26:D26</xm:sqref>
        </x14:dataValidation>
        <x14:dataValidation type="list" allowBlank="1" showInputMessage="1" showErrorMessage="1">
          <x14:formula1>
            <xm:f>Valuation!B29:B33</xm:f>
          </x14:formula1>
          <xm:sqref>B27:D27</xm:sqref>
        </x14:dataValidation>
        <x14:dataValidation type="list" allowBlank="1" showInputMessage="1" showErrorMessage="1">
          <x14:formula1>
            <xm:f>Charger!A11:A13</xm:f>
          </x14:formula1>
          <xm:sqref>B24:D24</xm:sqref>
        </x14:dataValidation>
      </x14:dataValidations>
    </ext>
  </extLst>
</worksheet>
</file>

<file path=xl/worksheets/sheet3.xml><?xml version="1.0" encoding="utf-8"?>
<worksheet xmlns="http://schemas.openxmlformats.org/spreadsheetml/2006/main" xmlns:r="http://schemas.openxmlformats.org/officeDocument/2006/relationships">
  <dimension ref="A1:AB123"/>
  <sheetViews>
    <sheetView zoomScale="70" zoomScaleNormal="70" workbookViewId="0"/>
  </sheetViews>
  <sheetFormatPr defaultRowHeight="15"/>
  <cols>
    <col min="2" max="2" width="9.5703125" customWidth="1"/>
    <col min="3" max="3" width="11.140625" bestFit="1" customWidth="1"/>
    <col min="17" max="17" width="14.140625" bestFit="1" customWidth="1"/>
    <col min="18" max="18" width="12" bestFit="1" customWidth="1"/>
    <col min="19" max="20" width="12" customWidth="1"/>
    <col min="21" max="22" width="12" bestFit="1" customWidth="1"/>
    <col min="23" max="23" width="15.85546875" bestFit="1" customWidth="1"/>
    <col min="24" max="25" width="15.85546875" customWidth="1"/>
    <col min="26" max="26" width="12" customWidth="1"/>
    <col min="30" max="36" width="10.85546875" customWidth="1"/>
    <col min="37" max="39" width="11.85546875" customWidth="1"/>
    <col min="40" max="40" width="26.5703125" bestFit="1" customWidth="1"/>
    <col min="41" max="43" width="28" bestFit="1" customWidth="1"/>
  </cols>
  <sheetData>
    <row r="1" spans="1:28" ht="26.25">
      <c r="A1" s="242" t="s">
        <v>765</v>
      </c>
    </row>
    <row r="2" spans="1:28">
      <c r="A2" s="610" t="s">
        <v>240</v>
      </c>
    </row>
    <row r="4" spans="1:28" ht="21">
      <c r="B4" s="926" t="s">
        <v>387</v>
      </c>
      <c r="C4" s="926"/>
      <c r="D4" s="926"/>
      <c r="E4" s="926"/>
      <c r="F4" s="926"/>
      <c r="G4" s="926"/>
      <c r="H4" s="926"/>
      <c r="I4" s="926"/>
      <c r="J4" s="926"/>
      <c r="K4" s="926"/>
      <c r="L4" s="926"/>
      <c r="M4" s="785"/>
      <c r="N4" s="785"/>
      <c r="O4" s="742"/>
      <c r="Q4" s="926" t="s">
        <v>388</v>
      </c>
      <c r="R4" s="926"/>
      <c r="S4" s="926"/>
      <c r="T4" s="926"/>
      <c r="U4" s="926"/>
      <c r="V4" s="926"/>
      <c r="W4" s="926"/>
      <c r="X4" s="926"/>
      <c r="Y4" s="926"/>
      <c r="Z4" s="926"/>
      <c r="AA4" s="785"/>
    </row>
    <row r="5" spans="1:28">
      <c r="B5" s="80"/>
      <c r="C5" s="80"/>
      <c r="D5" s="205" t="s">
        <v>54</v>
      </c>
      <c r="E5" s="203" t="s">
        <v>2</v>
      </c>
      <c r="F5" s="203" t="s">
        <v>43</v>
      </c>
      <c r="G5" s="203" t="s">
        <v>25</v>
      </c>
      <c r="H5" s="203" t="s">
        <v>26</v>
      </c>
      <c r="I5" s="203" t="s">
        <v>27</v>
      </c>
      <c r="J5" s="203" t="s">
        <v>39</v>
      </c>
      <c r="K5" s="203" t="s">
        <v>3</v>
      </c>
      <c r="L5" s="205" t="s">
        <v>626</v>
      </c>
      <c r="M5" s="203" t="s">
        <v>593</v>
      </c>
      <c r="N5" s="203" t="s">
        <v>625</v>
      </c>
      <c r="O5" s="205" t="s">
        <v>386</v>
      </c>
      <c r="Q5" s="80"/>
      <c r="R5" s="80"/>
      <c r="S5" s="148" t="str">
        <f>SUMMARY!Z39</f>
        <v>Base Vehicle</v>
      </c>
      <c r="T5" s="741" t="str">
        <f>SUMMARY!AA39</f>
        <v>Initial Battery</v>
      </c>
      <c r="U5" s="741" t="str">
        <f>SUMMARY!AB39</f>
        <v>Replacement Battery</v>
      </c>
      <c r="V5" s="741" t="str">
        <f>SUMMARY!AC39</f>
        <v>Gasoline</v>
      </c>
      <c r="W5" s="741" t="str">
        <f>SUMMARY!AD39</f>
        <v>Electricity</v>
      </c>
      <c r="X5" s="793" t="str">
        <f>SUMMARY!AE39</f>
        <v>Charger Cost</v>
      </c>
      <c r="Y5" s="793" t="str">
        <f>SUMMARY!AF39</f>
        <v>Scheduled Maintenance</v>
      </c>
      <c r="Z5" s="741" t="str">
        <f>SUMMARY!AG39</f>
        <v>Air Emissions Damages</v>
      </c>
      <c r="AA5" s="786" t="str">
        <f>SUMMARY!AH39</f>
        <v>Oil Premium</v>
      </c>
      <c r="AB5" s="612" t="s">
        <v>386</v>
      </c>
    </row>
    <row r="6" spans="1:28" ht="15" customHeight="1">
      <c r="B6" s="923" t="s">
        <v>600</v>
      </c>
      <c r="C6" s="202" t="s">
        <v>8</v>
      </c>
      <c r="D6" s="206">
        <v>2024.7409595581712</v>
      </c>
      <c r="E6" s="207">
        <v>312.25271204328538</v>
      </c>
      <c r="F6" s="207">
        <v>0</v>
      </c>
      <c r="G6" s="207">
        <v>104.13165470467408</v>
      </c>
      <c r="H6" s="207">
        <v>109.0601833311037</v>
      </c>
      <c r="I6" s="207">
        <v>327.17935195742109</v>
      </c>
      <c r="J6" s="207">
        <v>412.88420411262837</v>
      </c>
      <c r="K6" s="207">
        <v>227.045243863363</v>
      </c>
      <c r="L6" s="206">
        <v>335.04288137349306</v>
      </c>
      <c r="M6" s="207">
        <v>829.22473140215186</v>
      </c>
      <c r="N6" s="207">
        <v>119.9726900992793</v>
      </c>
      <c r="O6" s="206">
        <f>SUM(D6:N6)</f>
        <v>4801.5346124455709</v>
      </c>
      <c r="Q6" s="923" t="s">
        <v>698</v>
      </c>
      <c r="R6" s="202" t="str">
        <f>C6</f>
        <v>CV</v>
      </c>
      <c r="S6" s="363">
        <v>23019.490021615933</v>
      </c>
      <c r="T6" s="151">
        <v>0</v>
      </c>
      <c r="U6" s="151">
        <v>0</v>
      </c>
      <c r="V6" s="151">
        <v>12386.239508244789</v>
      </c>
      <c r="W6" s="151">
        <v>0</v>
      </c>
      <c r="X6" s="151">
        <v>0</v>
      </c>
      <c r="Y6" s="151">
        <v>4379.9559833068452</v>
      </c>
      <c r="Z6" s="151">
        <v>3517.2943095706469</v>
      </c>
      <c r="AA6" s="787">
        <v>1284.2403028749243</v>
      </c>
      <c r="AB6" s="364">
        <f>SUM(S6:AA6)</f>
        <v>44587.220125613137</v>
      </c>
    </row>
    <row r="7" spans="1:28">
      <c r="B7" s="924"/>
      <c r="C7" s="203" t="s">
        <v>9</v>
      </c>
      <c r="D7" s="208">
        <v>1533.4235892112956</v>
      </c>
      <c r="E7" s="209">
        <v>309.62966328679141</v>
      </c>
      <c r="F7" s="209">
        <v>0</v>
      </c>
      <c r="G7" s="209">
        <v>85.056093960905713</v>
      </c>
      <c r="H7" s="209">
        <v>99.240449074941608</v>
      </c>
      <c r="I7" s="209">
        <v>296.12031154674804</v>
      </c>
      <c r="J7" s="209">
        <v>485.95540241708989</v>
      </c>
      <c r="K7" s="209">
        <v>183.48724632642646</v>
      </c>
      <c r="L7" s="208">
        <v>239.31634383820932</v>
      </c>
      <c r="M7" s="209">
        <v>592.3033795729657</v>
      </c>
      <c r="N7" s="209">
        <v>85.694778642342385</v>
      </c>
      <c r="O7" s="208">
        <f t="shared" ref="O7:O10" si="0">SUM(D7:N7)</f>
        <v>3910.2272578777161</v>
      </c>
      <c r="Q7" s="924"/>
      <c r="R7" s="203" t="str">
        <f t="shared" ref="R7:R10" si="1">C7</f>
        <v>HEV</v>
      </c>
      <c r="S7" s="365">
        <v>24799.941964129226</v>
      </c>
      <c r="T7" s="152">
        <v>2067.978343167611</v>
      </c>
      <c r="U7" s="152">
        <v>0</v>
      </c>
      <c r="V7" s="152">
        <v>8847.3139344605643</v>
      </c>
      <c r="W7" s="152">
        <v>0</v>
      </c>
      <c r="X7" s="152">
        <v>0</v>
      </c>
      <c r="Y7" s="152">
        <v>3961.7852942126851</v>
      </c>
      <c r="Z7" s="152">
        <v>2992.9127558241985</v>
      </c>
      <c r="AA7" s="620">
        <v>917.31450205351746</v>
      </c>
      <c r="AB7" s="364">
        <f t="shared" ref="AB7:AB22" si="2">SUM(S7:AA7)</f>
        <v>43587.2467938478</v>
      </c>
    </row>
    <row r="8" spans="1:28">
      <c r="B8" s="924"/>
      <c r="C8" s="203" t="s">
        <v>10</v>
      </c>
      <c r="D8" s="208">
        <v>1470.9903780410214</v>
      </c>
      <c r="E8" s="209">
        <v>226.57131861625834</v>
      </c>
      <c r="F8" s="209">
        <v>0</v>
      </c>
      <c r="G8" s="209">
        <v>82.644555338322789</v>
      </c>
      <c r="H8" s="209">
        <v>101.48096887821208</v>
      </c>
      <c r="I8" s="209">
        <v>291.66818921652788</v>
      </c>
      <c r="J8" s="209">
        <v>556.99015577880436</v>
      </c>
      <c r="K8" s="209">
        <v>157.06115570665324</v>
      </c>
      <c r="L8" s="208">
        <v>194.46127091397832</v>
      </c>
      <c r="M8" s="209">
        <v>481.28793090818442</v>
      </c>
      <c r="N8" s="209">
        <v>69.633002486231831</v>
      </c>
      <c r="O8" s="208">
        <f t="shared" si="0"/>
        <v>3632.7889258841947</v>
      </c>
      <c r="Q8" s="924"/>
      <c r="R8" s="203" t="str">
        <f t="shared" si="1"/>
        <v>PHEV20</v>
      </c>
      <c r="S8" s="365">
        <v>25665.680796868604</v>
      </c>
      <c r="T8" s="152">
        <v>2631.9724367587778</v>
      </c>
      <c r="U8" s="152">
        <v>0</v>
      </c>
      <c r="V8" s="152">
        <v>7189.0614919024256</v>
      </c>
      <c r="W8" s="152">
        <v>787.62568701449754</v>
      </c>
      <c r="X8" s="152">
        <v>1200</v>
      </c>
      <c r="Y8" s="152">
        <v>3234.9494096753001</v>
      </c>
      <c r="Z8" s="152">
        <v>2887.4067215758</v>
      </c>
      <c r="AA8" s="620">
        <v>745.38220430839453</v>
      </c>
      <c r="AB8" s="364">
        <f t="shared" si="2"/>
        <v>44342.078748103791</v>
      </c>
    </row>
    <row r="9" spans="1:28">
      <c r="B9" s="924"/>
      <c r="C9" s="203" t="s">
        <v>11</v>
      </c>
      <c r="D9" s="208">
        <v>1733.929370510444</v>
      </c>
      <c r="E9" s="209">
        <v>173.83427687643018</v>
      </c>
      <c r="F9" s="209">
        <v>0</v>
      </c>
      <c r="G9" s="209">
        <v>99.170110306203711</v>
      </c>
      <c r="H9" s="209">
        <v>122.77531596720763</v>
      </c>
      <c r="I9" s="209">
        <v>333.46407461874128</v>
      </c>
      <c r="J9" s="209">
        <v>895.9992717436171</v>
      </c>
      <c r="K9" s="209">
        <v>141.14460618054966</v>
      </c>
      <c r="L9" s="208">
        <v>168.42228059307067</v>
      </c>
      <c r="M9" s="209">
        <v>416.84192726136246</v>
      </c>
      <c r="N9" s="209">
        <v>60.308919242135367</v>
      </c>
      <c r="O9" s="208">
        <f t="shared" si="0"/>
        <v>4145.8901532997616</v>
      </c>
      <c r="Q9" s="924"/>
      <c r="R9" s="203" t="str">
        <f t="shared" si="1"/>
        <v>PHEV60</v>
      </c>
      <c r="S9" s="365">
        <v>25728.873412397024</v>
      </c>
      <c r="T9" s="152">
        <v>8730.0598352515044</v>
      </c>
      <c r="U9" s="152">
        <v>0</v>
      </c>
      <c r="V9" s="152">
        <v>6226.4230100894329</v>
      </c>
      <c r="W9" s="152">
        <v>2314.2026082352727</v>
      </c>
      <c r="X9" s="152">
        <v>2400</v>
      </c>
      <c r="Y9" s="152">
        <v>3234.9494096753001</v>
      </c>
      <c r="Z9" s="152">
        <v>3500.3170262031931</v>
      </c>
      <c r="AA9" s="620">
        <v>645.57312709656856</v>
      </c>
      <c r="AB9" s="364">
        <f t="shared" si="2"/>
        <v>52780.398428948298</v>
      </c>
    </row>
    <row r="10" spans="1:28">
      <c r="B10" s="925"/>
      <c r="C10" s="204" t="s">
        <v>554</v>
      </c>
      <c r="D10" s="210">
        <v>1823.8017153265005</v>
      </c>
      <c r="E10" s="211">
        <v>17.869358676122928</v>
      </c>
      <c r="F10" s="211">
        <v>0</v>
      </c>
      <c r="G10" s="211">
        <v>128.73367902891709</v>
      </c>
      <c r="H10" s="211">
        <v>199.86763473738299</v>
      </c>
      <c r="I10" s="211">
        <v>475.91261374108592</v>
      </c>
      <c r="J10" s="211">
        <v>1938.8143695072956</v>
      </c>
      <c r="K10" s="211">
        <v>82.475839194839338</v>
      </c>
      <c r="L10" s="210">
        <v>0</v>
      </c>
      <c r="M10" s="211">
        <v>0</v>
      </c>
      <c r="N10" s="211">
        <v>0</v>
      </c>
      <c r="O10" s="210">
        <f t="shared" si="0"/>
        <v>4667.4752102121438</v>
      </c>
      <c r="Q10" s="925"/>
      <c r="R10" s="204" t="str">
        <f t="shared" si="1"/>
        <v>BEV240</v>
      </c>
      <c r="S10" s="153">
        <v>20496.524846643686</v>
      </c>
      <c r="T10" s="154">
        <v>31953.346041946596</v>
      </c>
      <c r="U10" s="154">
        <v>0</v>
      </c>
      <c r="V10" s="154">
        <v>0</v>
      </c>
      <c r="W10" s="154">
        <v>5281.9362399936672</v>
      </c>
      <c r="X10" s="154">
        <v>2400</v>
      </c>
      <c r="Y10" s="154">
        <v>2232.3495903035837</v>
      </c>
      <c r="Z10" s="154">
        <v>4667.4752102121438</v>
      </c>
      <c r="AA10" s="621">
        <v>0</v>
      </c>
      <c r="AB10" s="364">
        <f t="shared" si="2"/>
        <v>67031.631929099676</v>
      </c>
    </row>
    <row r="11" spans="1:28">
      <c r="B11" s="743" t="s">
        <v>241</v>
      </c>
      <c r="C11" s="203"/>
      <c r="D11" s="208"/>
      <c r="E11" s="209"/>
      <c r="F11" s="209"/>
      <c r="G11" s="209"/>
      <c r="H11" s="209"/>
      <c r="I11" s="209"/>
      <c r="J11" s="209"/>
      <c r="K11" s="209"/>
      <c r="L11" s="208"/>
      <c r="M11" s="209"/>
      <c r="N11" s="209"/>
      <c r="O11" s="208"/>
      <c r="Q11" s="743" t="s">
        <v>241</v>
      </c>
      <c r="R11" s="203"/>
      <c r="S11" s="788"/>
      <c r="T11" s="152"/>
      <c r="U11" s="152"/>
      <c r="V11" s="152"/>
      <c r="W11" s="152"/>
      <c r="X11" s="152"/>
      <c r="Y11" s="152"/>
      <c r="Z11" s="152"/>
      <c r="AA11" s="152"/>
      <c r="AB11" s="611"/>
    </row>
    <row r="12" spans="1:28" ht="15" customHeight="1">
      <c r="B12" s="923" t="s">
        <v>601</v>
      </c>
      <c r="C12" s="202" t="str">
        <f>C6</f>
        <v>CV</v>
      </c>
      <c r="D12" s="206">
        <v>2024.7409595581712</v>
      </c>
      <c r="E12" s="207">
        <v>312.25271204328538</v>
      </c>
      <c r="F12" s="207">
        <v>0</v>
      </c>
      <c r="G12" s="207">
        <v>104.13165470467408</v>
      </c>
      <c r="H12" s="207">
        <v>109.0601833311037</v>
      </c>
      <c r="I12" s="207">
        <v>327.17935195742109</v>
      </c>
      <c r="J12" s="207">
        <v>412.88420411262837</v>
      </c>
      <c r="K12" s="207">
        <v>227.045243863363</v>
      </c>
      <c r="L12" s="206">
        <v>335.04288137349306</v>
      </c>
      <c r="M12" s="207">
        <v>829.22473140215186</v>
      </c>
      <c r="N12" s="207">
        <v>119.9726900992793</v>
      </c>
      <c r="O12" s="206">
        <f>SUM(D12:N12)</f>
        <v>4801.5346124455709</v>
      </c>
      <c r="Q12" s="923" t="s">
        <v>598</v>
      </c>
      <c r="R12" s="202" t="str">
        <f>R6</f>
        <v>CV</v>
      </c>
      <c r="S12" s="363">
        <v>23020.016626745339</v>
      </c>
      <c r="T12" s="151">
        <v>0</v>
      </c>
      <c r="U12" s="151">
        <v>0</v>
      </c>
      <c r="V12" s="151">
        <v>18253.743161980979</v>
      </c>
      <c r="W12" s="151">
        <v>0</v>
      </c>
      <c r="X12" s="151">
        <v>0</v>
      </c>
      <c r="Y12" s="151">
        <v>4379.9559833068452</v>
      </c>
      <c r="Z12" s="151">
        <v>3517.2943095706469</v>
      </c>
      <c r="AA12" s="787">
        <v>1284.2403028749243</v>
      </c>
      <c r="AB12" s="364">
        <f t="shared" si="2"/>
        <v>50455.250384478728</v>
      </c>
    </row>
    <row r="13" spans="1:28">
      <c r="B13" s="924"/>
      <c r="C13" s="203" t="str">
        <f t="shared" ref="C13:C16" si="3">C7</f>
        <v>HEV</v>
      </c>
      <c r="D13" s="208">
        <v>1533.4235892112956</v>
      </c>
      <c r="E13" s="209">
        <v>309.62966328679141</v>
      </c>
      <c r="F13" s="209">
        <v>0</v>
      </c>
      <c r="G13" s="209">
        <v>85.056093960905713</v>
      </c>
      <c r="H13" s="209">
        <v>99.240449074941608</v>
      </c>
      <c r="I13" s="209">
        <v>296.12031154674804</v>
      </c>
      <c r="J13" s="209">
        <v>485.95540241708989</v>
      </c>
      <c r="K13" s="209">
        <v>183.48724632642646</v>
      </c>
      <c r="L13" s="208">
        <v>239.31634383820932</v>
      </c>
      <c r="M13" s="209">
        <v>592.3033795729657</v>
      </c>
      <c r="N13" s="209">
        <v>85.694778642342385</v>
      </c>
      <c r="O13" s="208">
        <f t="shared" ref="O13:O16" si="4">SUM(D13:N13)</f>
        <v>3910.2272578777161</v>
      </c>
      <c r="Q13" s="924"/>
      <c r="R13" s="203" t="str">
        <f t="shared" ref="R13:R16" si="5">R7</f>
        <v>HEV</v>
      </c>
      <c r="S13" s="365">
        <v>25459.251586142429</v>
      </c>
      <c r="T13" s="152">
        <v>755.15175556464328</v>
      </c>
      <c r="U13" s="152">
        <v>0</v>
      </c>
      <c r="V13" s="152">
        <v>13038.387972843557</v>
      </c>
      <c r="W13" s="152">
        <v>0</v>
      </c>
      <c r="X13" s="152">
        <v>0</v>
      </c>
      <c r="Y13" s="152">
        <v>3961.7852942126851</v>
      </c>
      <c r="Z13" s="152">
        <v>2992.9127558241985</v>
      </c>
      <c r="AA13" s="620">
        <v>917.31450205351746</v>
      </c>
      <c r="AB13" s="364">
        <f t="shared" si="2"/>
        <v>47124.803866641028</v>
      </c>
    </row>
    <row r="14" spans="1:28">
      <c r="B14" s="924"/>
      <c r="C14" s="203" t="str">
        <f t="shared" si="3"/>
        <v>PHEV20</v>
      </c>
      <c r="D14" s="208">
        <v>1321.6686505989951</v>
      </c>
      <c r="E14" s="209">
        <v>226.56521619443811</v>
      </c>
      <c r="F14" s="209">
        <v>0</v>
      </c>
      <c r="G14" s="209">
        <v>74.201645048554042</v>
      </c>
      <c r="H14" s="209">
        <v>97.887371399090938</v>
      </c>
      <c r="I14" s="209">
        <v>281.57921487483054</v>
      </c>
      <c r="J14" s="209">
        <v>465.75648755121978</v>
      </c>
      <c r="K14" s="209">
        <v>156.9975239584785</v>
      </c>
      <c r="L14" s="208">
        <v>194.46127091397832</v>
      </c>
      <c r="M14" s="209">
        <v>481.28793090818442</v>
      </c>
      <c r="N14" s="209">
        <v>69.633002486231831</v>
      </c>
      <c r="O14" s="208">
        <f t="shared" si="4"/>
        <v>3370.0383139340011</v>
      </c>
      <c r="Q14" s="924"/>
      <c r="R14" s="203" t="str">
        <f t="shared" si="5"/>
        <v>PHEV20</v>
      </c>
      <c r="S14" s="365">
        <v>25918.977864111697</v>
      </c>
      <c r="T14" s="152">
        <v>718.8160016358006</v>
      </c>
      <c r="U14" s="152">
        <v>0</v>
      </c>
      <c r="V14" s="152">
        <v>10594.60233766063</v>
      </c>
      <c r="W14" s="152">
        <v>702.62341184603372</v>
      </c>
      <c r="X14" s="152">
        <v>1200</v>
      </c>
      <c r="Y14" s="152">
        <v>3234.9494096753001</v>
      </c>
      <c r="Z14" s="152">
        <v>2624.6561096256064</v>
      </c>
      <c r="AA14" s="620">
        <v>745.38220430839453</v>
      </c>
      <c r="AB14" s="364">
        <f t="shared" si="2"/>
        <v>45740.007338863456</v>
      </c>
    </row>
    <row r="15" spans="1:28">
      <c r="B15" s="924"/>
      <c r="C15" s="203" t="str">
        <f t="shared" si="3"/>
        <v>PHEV60</v>
      </c>
      <c r="D15" s="208">
        <v>1295.192116495298</v>
      </c>
      <c r="E15" s="209">
        <v>173.81634673432617</v>
      </c>
      <c r="F15" s="209">
        <v>0</v>
      </c>
      <c r="G15" s="209">
        <v>74.363142560217</v>
      </c>
      <c r="H15" s="209">
        <v>112.21660413715938</v>
      </c>
      <c r="I15" s="209">
        <v>303.82063977283718</v>
      </c>
      <c r="J15" s="209">
        <v>627.93641339341502</v>
      </c>
      <c r="K15" s="209">
        <v>140.95764331224763</v>
      </c>
      <c r="L15" s="208">
        <v>168.42228059307067</v>
      </c>
      <c r="M15" s="209">
        <v>416.84192726136246</v>
      </c>
      <c r="N15" s="209">
        <v>60.308919242135367</v>
      </c>
      <c r="O15" s="208">
        <f t="shared" si="4"/>
        <v>3373.8760335020688</v>
      </c>
      <c r="Q15" s="924"/>
      <c r="R15" s="203" t="str">
        <f t="shared" si="5"/>
        <v>PHEV60</v>
      </c>
      <c r="S15" s="365">
        <v>25948.467751358294</v>
      </c>
      <c r="T15" s="152">
        <v>2478.7303441023541</v>
      </c>
      <c r="U15" s="152">
        <v>0</v>
      </c>
      <c r="V15" s="152">
        <v>9175.9509711052524</v>
      </c>
      <c r="W15" s="152">
        <v>2064.4488354165728</v>
      </c>
      <c r="X15" s="152">
        <v>2400</v>
      </c>
      <c r="Y15" s="152">
        <v>3234.9494096753001</v>
      </c>
      <c r="Z15" s="152">
        <v>2728.3029064055004</v>
      </c>
      <c r="AA15" s="620">
        <v>645.57312709656856</v>
      </c>
      <c r="AB15" s="364">
        <f t="shared" si="2"/>
        <v>48676.423345159841</v>
      </c>
    </row>
    <row r="16" spans="1:28">
      <c r="B16" s="925"/>
      <c r="C16" s="204" t="str">
        <f t="shared" si="3"/>
        <v>BEV240</v>
      </c>
      <c r="D16" s="210">
        <v>822.42776752637315</v>
      </c>
      <c r="E16" s="211">
        <v>17.82843491818128</v>
      </c>
      <c r="F16" s="211">
        <v>0</v>
      </c>
      <c r="G16" s="211">
        <v>72.114253627007685</v>
      </c>
      <c r="H16" s="211">
        <v>175.76842991222287</v>
      </c>
      <c r="I16" s="211">
        <v>408.25443539780326</v>
      </c>
      <c r="J16" s="211">
        <v>1326.9876776361252</v>
      </c>
      <c r="K16" s="211">
        <v>82.049115127506866</v>
      </c>
      <c r="L16" s="210">
        <v>0</v>
      </c>
      <c r="M16" s="211">
        <v>0</v>
      </c>
      <c r="N16" s="211">
        <v>0</v>
      </c>
      <c r="O16" s="210">
        <f t="shared" si="4"/>
        <v>2905.4301141452202</v>
      </c>
      <c r="Q16" s="925"/>
      <c r="R16" s="204" t="str">
        <f t="shared" si="5"/>
        <v>BEV240</v>
      </c>
      <c r="S16" s="153">
        <v>21236.405053455623</v>
      </c>
      <c r="T16" s="154">
        <v>9331.9694981597222</v>
      </c>
      <c r="U16" s="154">
        <v>0</v>
      </c>
      <c r="V16" s="154">
        <v>0</v>
      </c>
      <c r="W16" s="154">
        <v>4711.8982065769651</v>
      </c>
      <c r="X16" s="154">
        <v>2400</v>
      </c>
      <c r="Y16" s="154">
        <v>2232.3495903035837</v>
      </c>
      <c r="Z16" s="154">
        <v>2905.4301141452202</v>
      </c>
      <c r="AA16" s="621">
        <v>0</v>
      </c>
      <c r="AB16" s="364">
        <f t="shared" si="2"/>
        <v>42818.052462641113</v>
      </c>
    </row>
    <row r="17" spans="2:28">
      <c r="B17" s="743" t="s">
        <v>241</v>
      </c>
      <c r="C17" s="203"/>
      <c r="D17" s="208"/>
      <c r="E17" s="209"/>
      <c r="F17" s="209"/>
      <c r="G17" s="209"/>
      <c r="H17" s="209"/>
      <c r="I17" s="209"/>
      <c r="J17" s="209"/>
      <c r="K17" s="209"/>
      <c r="L17" s="208"/>
      <c r="M17" s="209"/>
      <c r="N17" s="209"/>
      <c r="O17" s="208"/>
      <c r="Q17" s="743" t="s">
        <v>241</v>
      </c>
      <c r="R17" s="203"/>
      <c r="S17" s="365"/>
      <c r="T17" s="152"/>
      <c r="U17" s="152"/>
      <c r="V17" s="152"/>
      <c r="W17" s="152"/>
      <c r="X17" s="152"/>
      <c r="Y17" s="152"/>
      <c r="Z17" s="152"/>
      <c r="AA17" s="152"/>
      <c r="AB17" s="611"/>
    </row>
    <row r="18" spans="2:28" ht="15" customHeight="1">
      <c r="B18" s="923" t="s">
        <v>597</v>
      </c>
      <c r="C18" s="202" t="str">
        <f>C12</f>
        <v>CV</v>
      </c>
      <c r="D18" s="206">
        <v>2024.7409595581712</v>
      </c>
      <c r="E18" s="207">
        <v>312.25271204328538</v>
      </c>
      <c r="F18" s="207">
        <v>0</v>
      </c>
      <c r="G18" s="207">
        <v>104.13165470467408</v>
      </c>
      <c r="H18" s="207">
        <v>109.0601833311037</v>
      </c>
      <c r="I18" s="207">
        <v>327.17935195742109</v>
      </c>
      <c r="J18" s="207">
        <v>412.88420411262837</v>
      </c>
      <c r="K18" s="207">
        <v>227.045243863363</v>
      </c>
      <c r="L18" s="206">
        <v>335.04288137349306</v>
      </c>
      <c r="M18" s="207">
        <v>829.22473140215186</v>
      </c>
      <c r="N18" s="207">
        <v>119.9726900992793</v>
      </c>
      <c r="O18" s="206">
        <f>SUM(D18:N18)</f>
        <v>4801.5346124455709</v>
      </c>
      <c r="P18" s="241"/>
      <c r="Q18" s="923" t="s">
        <v>599</v>
      </c>
      <c r="R18" s="202" t="str">
        <f>R12</f>
        <v>CV</v>
      </c>
      <c r="S18" s="363">
        <v>23019.490021615933</v>
      </c>
      <c r="T18" s="151">
        <v>0</v>
      </c>
      <c r="U18" s="151">
        <v>0</v>
      </c>
      <c r="V18" s="151">
        <v>7159.2135243092662</v>
      </c>
      <c r="W18" s="151">
        <v>0</v>
      </c>
      <c r="X18" s="151">
        <v>0</v>
      </c>
      <c r="Y18" s="151">
        <v>4379.9559833068452</v>
      </c>
      <c r="Z18" s="151">
        <v>3517.2943095706469</v>
      </c>
      <c r="AA18" s="787">
        <v>1284.2403028749243</v>
      </c>
      <c r="AB18" s="364">
        <f t="shared" si="2"/>
        <v>39360.19414167761</v>
      </c>
    </row>
    <row r="19" spans="2:28">
      <c r="B19" s="924"/>
      <c r="C19" s="203" t="str">
        <f t="shared" ref="C19:C22" si="6">C13</f>
        <v>HEV</v>
      </c>
      <c r="D19" s="208">
        <v>1552.2289128208483</v>
      </c>
      <c r="E19" s="209">
        <v>309.78333173015068</v>
      </c>
      <c r="F19" s="209">
        <v>0</v>
      </c>
      <c r="G19" s="209">
        <v>86.324204136533339</v>
      </c>
      <c r="H19" s="209">
        <v>102.05032542065189</v>
      </c>
      <c r="I19" s="209">
        <v>301.55772962452818</v>
      </c>
      <c r="J19" s="209">
        <v>534.49851516334513</v>
      </c>
      <c r="K19" s="209">
        <v>183.59028290944246</v>
      </c>
      <c r="L19" s="208">
        <v>239.31634383820932</v>
      </c>
      <c r="M19" s="209">
        <v>592.3033795729657</v>
      </c>
      <c r="N19" s="209">
        <v>85.694778642342385</v>
      </c>
      <c r="O19" s="208">
        <f t="shared" ref="O19:O22" si="7">SUM(D19:N19)</f>
        <v>3987.3478038590174</v>
      </c>
      <c r="P19" s="241"/>
      <c r="Q19" s="924"/>
      <c r="R19" s="203" t="str">
        <f t="shared" ref="R19:R22" si="8">R13</f>
        <v>HEV</v>
      </c>
      <c r="S19" s="365">
        <v>24799.941964129226</v>
      </c>
      <c r="T19" s="152">
        <v>2067.978343167611</v>
      </c>
      <c r="U19" s="152">
        <v>1303.1771409162741</v>
      </c>
      <c r="V19" s="152">
        <v>5113.7239459351904</v>
      </c>
      <c r="W19" s="152">
        <v>0</v>
      </c>
      <c r="X19" s="152">
        <v>0</v>
      </c>
      <c r="Y19" s="152">
        <v>3961.7852942126851</v>
      </c>
      <c r="Z19" s="152">
        <v>3070.0333018054998</v>
      </c>
      <c r="AA19" s="620">
        <v>917.31450205351746</v>
      </c>
      <c r="AB19" s="364">
        <f t="shared" si="2"/>
        <v>41233.954492220008</v>
      </c>
    </row>
    <row r="20" spans="2:28">
      <c r="B20" s="924"/>
      <c r="C20" s="203" t="str">
        <f t="shared" si="6"/>
        <v>PHEV20</v>
      </c>
      <c r="D20" s="208">
        <v>1583.9929048200206</v>
      </c>
      <c r="E20" s="209">
        <v>226.65575061431062</v>
      </c>
      <c r="F20" s="209">
        <v>0</v>
      </c>
      <c r="G20" s="209">
        <v>95.400817139421207</v>
      </c>
      <c r="H20" s="209">
        <v>109.78880328853825</v>
      </c>
      <c r="I20" s="209">
        <v>325.90919355157894</v>
      </c>
      <c r="J20" s="209">
        <v>931.53559220983891</v>
      </c>
      <c r="K20" s="209">
        <v>157.24364643840394</v>
      </c>
      <c r="L20" s="208">
        <v>194.46127091397832</v>
      </c>
      <c r="M20" s="209">
        <v>481.28793090818442</v>
      </c>
      <c r="N20" s="209">
        <v>69.633002486231831</v>
      </c>
      <c r="O20" s="208">
        <f t="shared" si="7"/>
        <v>4175.9089123705071</v>
      </c>
      <c r="P20" s="241"/>
      <c r="Q20" s="924"/>
      <c r="R20" s="203" t="str">
        <f t="shared" si="8"/>
        <v>PHEV20</v>
      </c>
      <c r="S20" s="365">
        <v>25665.680796868604</v>
      </c>
      <c r="T20" s="152">
        <v>2631.9724367587778</v>
      </c>
      <c r="U20" s="152">
        <v>1658.5890884388946</v>
      </c>
      <c r="V20" s="152">
        <v>4155.2584402763705</v>
      </c>
      <c r="W20" s="152">
        <v>834.84121643972094</v>
      </c>
      <c r="X20" s="152">
        <v>1200</v>
      </c>
      <c r="Y20" s="152">
        <v>3234.9494096753001</v>
      </c>
      <c r="Z20" s="152">
        <v>3430.5267080621124</v>
      </c>
      <c r="AA20" s="620">
        <v>745.38220430839453</v>
      </c>
      <c r="AB20" s="364">
        <f t="shared" si="2"/>
        <v>43557.200300828168</v>
      </c>
    </row>
    <row r="21" spans="2:28">
      <c r="B21" s="924"/>
      <c r="C21" s="203" t="str">
        <f t="shared" si="6"/>
        <v>PHEV60</v>
      </c>
      <c r="D21" s="208">
        <v>2079.5877868097587</v>
      </c>
      <c r="E21" s="209">
        <v>174.12353130123657</v>
      </c>
      <c r="F21" s="209">
        <v>0</v>
      </c>
      <c r="G21" s="209">
        <v>137.61121766907905</v>
      </c>
      <c r="H21" s="209">
        <v>149.37516704604079</v>
      </c>
      <c r="I21" s="209">
        <v>438.6993994776783</v>
      </c>
      <c r="J21" s="209">
        <v>2018.5195000301717</v>
      </c>
      <c r="K21" s="209">
        <v>141.75405314112487</v>
      </c>
      <c r="L21" s="208">
        <v>168.42228059307067</v>
      </c>
      <c r="M21" s="209">
        <v>416.84192726136246</v>
      </c>
      <c r="N21" s="209">
        <v>60.308919242135367</v>
      </c>
      <c r="O21" s="208">
        <f t="shared" si="7"/>
        <v>5785.2437825716588</v>
      </c>
      <c r="P21" s="241"/>
      <c r="Q21" s="924"/>
      <c r="R21" s="203" t="str">
        <f t="shared" si="8"/>
        <v>PHEV60</v>
      </c>
      <c r="S21" s="365">
        <v>25728.873412397024</v>
      </c>
      <c r="T21" s="152">
        <v>8730.0598352515044</v>
      </c>
      <c r="U21" s="152">
        <v>5501.4185490476175</v>
      </c>
      <c r="V21" s="152">
        <v>3598.8559556135556</v>
      </c>
      <c r="W21" s="152">
        <v>2452.931325627967</v>
      </c>
      <c r="X21" s="152">
        <v>2400</v>
      </c>
      <c r="Y21" s="152">
        <v>3234.9494096753001</v>
      </c>
      <c r="Z21" s="152">
        <v>5139.6706554750899</v>
      </c>
      <c r="AA21" s="620">
        <v>645.57312709656856</v>
      </c>
      <c r="AB21" s="364">
        <f t="shared" si="2"/>
        <v>57432.332270184626</v>
      </c>
    </row>
    <row r="22" spans="2:28">
      <c r="B22" s="925"/>
      <c r="C22" s="204" t="str">
        <f t="shared" si="6"/>
        <v>BEV240</v>
      </c>
      <c r="D22" s="210">
        <v>2760.3715573235554</v>
      </c>
      <c r="E22" s="211">
        <v>19.065408493154514</v>
      </c>
      <c r="F22" s="211">
        <v>0</v>
      </c>
      <c r="G22" s="211">
        <v>228.97322720730725</v>
      </c>
      <c r="H22" s="211">
        <v>289.07607459727205</v>
      </c>
      <c r="I22" s="211">
        <v>776.3339816355508</v>
      </c>
      <c r="J22" s="211">
        <v>4787.5523025464063</v>
      </c>
      <c r="K22" s="211">
        <v>84.820127540333232</v>
      </c>
      <c r="L22" s="210">
        <v>0</v>
      </c>
      <c r="M22" s="211">
        <v>0</v>
      </c>
      <c r="N22" s="211">
        <v>0</v>
      </c>
      <c r="O22" s="210">
        <f t="shared" si="7"/>
        <v>8946.1926793435796</v>
      </c>
      <c r="P22" s="241"/>
      <c r="Q22" s="925"/>
      <c r="R22" s="204" t="str">
        <f t="shared" si="8"/>
        <v>BEV240</v>
      </c>
      <c r="S22" s="153">
        <v>20496.524846643686</v>
      </c>
      <c r="T22" s="154">
        <v>31953.346041946596</v>
      </c>
      <c r="U22" s="154">
        <v>20136.028152920211</v>
      </c>
      <c r="V22" s="154">
        <v>0</v>
      </c>
      <c r="W22" s="154">
        <v>5598.5706769771623</v>
      </c>
      <c r="X22" s="154">
        <v>2400</v>
      </c>
      <c r="Y22" s="154">
        <v>2232.3495903035837</v>
      </c>
      <c r="Z22" s="154">
        <v>8946.1926793435796</v>
      </c>
      <c r="AA22" s="621">
        <v>0</v>
      </c>
      <c r="AB22" s="613">
        <f t="shared" si="2"/>
        <v>91763.011988134822</v>
      </c>
    </row>
    <row r="24" spans="2:28">
      <c r="D24" s="241"/>
      <c r="J24" s="469"/>
      <c r="K24" s="469"/>
      <c r="L24" s="469"/>
      <c r="M24" s="469"/>
      <c r="N24" s="469"/>
      <c r="O24" s="469"/>
    </row>
    <row r="25" spans="2:28">
      <c r="J25" s="741"/>
      <c r="K25" s="152"/>
      <c r="L25" s="741"/>
      <c r="M25" s="786"/>
      <c r="N25" s="786"/>
      <c r="O25" s="744"/>
    </row>
    <row r="26" spans="2:28">
      <c r="J26" s="741"/>
      <c r="K26" s="152"/>
      <c r="L26" s="152"/>
      <c r="M26" s="152"/>
      <c r="N26" s="152"/>
      <c r="O26" s="152"/>
    </row>
    <row r="27" spans="2:28">
      <c r="J27" s="741"/>
      <c r="K27" s="152"/>
      <c r="L27" s="152"/>
      <c r="M27" s="152"/>
      <c r="N27" s="152"/>
      <c r="O27" s="152"/>
    </row>
    <row r="28" spans="2:28">
      <c r="J28" s="741"/>
      <c r="K28" s="152"/>
      <c r="L28" s="152"/>
      <c r="M28" s="152"/>
      <c r="N28" s="152"/>
      <c r="O28" s="152"/>
    </row>
    <row r="32" spans="2:28">
      <c r="AB32" s="241"/>
    </row>
    <row r="41" spans="2:8">
      <c r="B41" t="s">
        <v>770</v>
      </c>
      <c r="D41" t="s">
        <v>772</v>
      </c>
    </row>
    <row r="42" spans="2:8">
      <c r="B42" s="218" t="s">
        <v>771</v>
      </c>
      <c r="C42" s="218" t="s">
        <v>780</v>
      </c>
      <c r="D42" s="218" t="s">
        <v>779</v>
      </c>
      <c r="E42" s="218" t="s">
        <v>47</v>
      </c>
      <c r="F42" s="218" t="s">
        <v>48</v>
      </c>
      <c r="G42" s="218" t="s">
        <v>776</v>
      </c>
      <c r="H42" s="218" t="s">
        <v>777</v>
      </c>
    </row>
    <row r="43" spans="2:8">
      <c r="B43" s="829">
        <v>0</v>
      </c>
      <c r="C43" s="241">
        <v>0</v>
      </c>
      <c r="D43" s="241"/>
      <c r="E43" s="241"/>
      <c r="F43" s="241"/>
      <c r="G43" s="241"/>
      <c r="H43" s="241"/>
    </row>
    <row r="44" spans="2:8">
      <c r="B44" s="829">
        <f>batsizeHEV_NiMH</f>
        <v>1.1009142857142857</v>
      </c>
      <c r="C44" s="241">
        <v>0</v>
      </c>
      <c r="D44" s="241">
        <f>O6-O7</f>
        <v>891.30735456785487</v>
      </c>
      <c r="E44" s="241">
        <f>O18-O19</f>
        <v>814.18680858655352</v>
      </c>
      <c r="F44" s="241">
        <f>O12-O13</f>
        <v>891.30735456785487</v>
      </c>
      <c r="G44" s="241">
        <f>D44-E44</f>
        <v>77.120545981301348</v>
      </c>
      <c r="H44" s="241">
        <f>F44-D44</f>
        <v>0</v>
      </c>
    </row>
    <row r="45" spans="2:8">
      <c r="B45" s="829">
        <v>1</v>
      </c>
      <c r="C45" s="241">
        <v>0</v>
      </c>
      <c r="D45" s="241"/>
      <c r="E45" s="241"/>
      <c r="F45" s="241"/>
      <c r="G45" s="241"/>
      <c r="H45" s="241"/>
    </row>
    <row r="46" spans="2:8">
      <c r="B46" s="829">
        <v>2</v>
      </c>
      <c r="C46" s="241">
        <v>0</v>
      </c>
      <c r="D46" s="241"/>
      <c r="E46" s="241"/>
      <c r="F46" s="241"/>
      <c r="G46" s="241"/>
      <c r="H46" s="241"/>
    </row>
    <row r="47" spans="2:8">
      <c r="B47" s="829">
        <v>3</v>
      </c>
      <c r="C47" s="241">
        <v>0</v>
      </c>
      <c r="D47" s="241"/>
      <c r="E47" s="241"/>
      <c r="F47" s="241"/>
      <c r="G47" s="241"/>
      <c r="H47" s="241"/>
    </row>
    <row r="48" spans="2:8">
      <c r="B48" s="829">
        <v>4</v>
      </c>
      <c r="C48" s="241">
        <v>0</v>
      </c>
      <c r="D48" s="241"/>
      <c r="E48" s="241"/>
      <c r="F48" s="241"/>
      <c r="G48" s="241"/>
      <c r="H48" s="241"/>
    </row>
    <row r="49" spans="2:8">
      <c r="B49" s="829">
        <v>4</v>
      </c>
      <c r="C49" s="241">
        <f>2500</f>
        <v>2500</v>
      </c>
      <c r="D49" s="241"/>
      <c r="E49" s="241"/>
      <c r="F49" s="241"/>
      <c r="G49" s="241"/>
      <c r="H49" s="241"/>
    </row>
    <row r="50" spans="2:8">
      <c r="B50" s="829">
        <f>Design!E8/1000</f>
        <v>4.6492964285714287</v>
      </c>
      <c r="C50" s="241">
        <f>C49 + (B50-B49)/(B51-B49) * (C51-C49)</f>
        <v>2770.7566107142857</v>
      </c>
      <c r="D50" s="241">
        <f>O6-O8</f>
        <v>1168.7456865613763</v>
      </c>
      <c r="E50" s="241">
        <f>O18-O20</f>
        <v>625.62570007506383</v>
      </c>
      <c r="F50" s="241">
        <f>O12-O14</f>
        <v>1431.4962985115699</v>
      </c>
      <c r="G50" s="241">
        <f>D50-E50</f>
        <v>543.11998648631243</v>
      </c>
      <c r="H50" s="241">
        <f>F50-D50</f>
        <v>262.75061195019362</v>
      </c>
    </row>
    <row r="51" spans="2:8">
      <c r="B51" s="829">
        <v>5</v>
      </c>
      <c r="C51" s="241">
        <f>C49+417</f>
        <v>2917</v>
      </c>
      <c r="D51" s="241"/>
      <c r="E51" s="241"/>
      <c r="F51" s="241"/>
      <c r="G51" s="241"/>
      <c r="H51" s="241"/>
    </row>
    <row r="52" spans="2:8">
      <c r="B52" s="829">
        <v>6</v>
      </c>
      <c r="C52" s="241">
        <f t="shared" ref="C52:C61" si="9">C51+417</f>
        <v>3334</v>
      </c>
      <c r="D52" s="241"/>
      <c r="E52" s="241"/>
      <c r="F52" s="241"/>
      <c r="G52" s="241"/>
      <c r="H52" s="241"/>
    </row>
    <row r="53" spans="2:8">
      <c r="B53" s="829">
        <v>7</v>
      </c>
      <c r="C53" s="241">
        <f t="shared" si="9"/>
        <v>3751</v>
      </c>
      <c r="D53" s="241"/>
      <c r="E53" s="241"/>
      <c r="F53" s="241"/>
      <c r="G53" s="241"/>
      <c r="H53" s="241"/>
    </row>
    <row r="54" spans="2:8">
      <c r="B54" s="829">
        <v>8</v>
      </c>
      <c r="C54" s="241">
        <f t="shared" si="9"/>
        <v>4168</v>
      </c>
      <c r="D54" s="241"/>
      <c r="E54" s="241"/>
      <c r="F54" s="241"/>
      <c r="G54" s="241"/>
      <c r="H54" s="241"/>
    </row>
    <row r="55" spans="2:8">
      <c r="B55" s="829">
        <v>9</v>
      </c>
      <c r="C55" s="241">
        <f t="shared" si="9"/>
        <v>4585</v>
      </c>
      <c r="D55" s="241"/>
      <c r="E55" s="241"/>
      <c r="F55" s="241"/>
      <c r="G55" s="241"/>
      <c r="H55" s="241"/>
    </row>
    <row r="56" spans="2:8">
      <c r="B56" s="829">
        <v>10</v>
      </c>
      <c r="C56" s="241">
        <f t="shared" si="9"/>
        <v>5002</v>
      </c>
      <c r="D56" s="241"/>
      <c r="E56" s="241"/>
      <c r="F56" s="241"/>
      <c r="G56" s="241"/>
      <c r="H56" s="241"/>
    </row>
    <row r="57" spans="2:8">
      <c r="B57" s="829">
        <v>11</v>
      </c>
      <c r="C57" s="241">
        <f t="shared" si="9"/>
        <v>5419</v>
      </c>
      <c r="D57" s="241"/>
      <c r="E57" s="241"/>
      <c r="F57" s="241"/>
      <c r="G57" s="241"/>
      <c r="H57" s="241"/>
    </row>
    <row r="58" spans="2:8">
      <c r="B58" s="829">
        <v>12</v>
      </c>
      <c r="C58" s="241">
        <f t="shared" si="9"/>
        <v>5836</v>
      </c>
      <c r="D58" s="241"/>
      <c r="E58" s="241"/>
      <c r="F58" s="241"/>
      <c r="G58" s="241"/>
      <c r="H58" s="241"/>
    </row>
    <row r="59" spans="2:8">
      <c r="B59" s="829">
        <v>13</v>
      </c>
      <c r="C59" s="241">
        <f t="shared" si="9"/>
        <v>6253</v>
      </c>
      <c r="D59" s="241"/>
      <c r="E59" s="241"/>
      <c r="F59" s="241"/>
      <c r="G59" s="241"/>
      <c r="H59" s="241"/>
    </row>
    <row r="60" spans="2:8">
      <c r="B60" s="829">
        <v>14</v>
      </c>
      <c r="C60" s="241">
        <f t="shared" si="9"/>
        <v>6670</v>
      </c>
      <c r="D60" s="241"/>
      <c r="E60" s="241"/>
      <c r="F60" s="241"/>
      <c r="G60" s="241"/>
      <c r="H60" s="241"/>
    </row>
    <row r="61" spans="2:8">
      <c r="B61" s="829">
        <v>15</v>
      </c>
      <c r="C61" s="241">
        <f t="shared" si="9"/>
        <v>7087</v>
      </c>
      <c r="D61" s="241"/>
      <c r="E61" s="241"/>
      <c r="F61" s="241"/>
      <c r="G61" s="241"/>
      <c r="H61" s="241"/>
    </row>
    <row r="62" spans="2:8">
      <c r="B62" s="829">
        <f>Design!E14/1000</f>
        <v>15.945996428571428</v>
      </c>
      <c r="C62" s="241">
        <f>C61 + (B62-B61)/(B63-B61) * (C63-C61)</f>
        <v>7477.6965249999994</v>
      </c>
      <c r="D62" s="241">
        <f>O6-O9</f>
        <v>655.64445914580938</v>
      </c>
      <c r="E62" s="241">
        <f>O18-O21</f>
        <v>-983.70917012608788</v>
      </c>
      <c r="F62" s="241">
        <f>O12-O15</f>
        <v>1427.6585789435021</v>
      </c>
      <c r="G62" s="241">
        <f>D62-E62</f>
        <v>1639.3536292718973</v>
      </c>
      <c r="H62" s="241">
        <f>F62-D62</f>
        <v>772.01411979769273</v>
      </c>
    </row>
    <row r="63" spans="2:8">
      <c r="B63" s="829">
        <v>16</v>
      </c>
      <c r="C63" s="241">
        <f>7500</f>
        <v>7500</v>
      </c>
      <c r="D63" s="241"/>
      <c r="E63" s="241"/>
      <c r="F63" s="241"/>
      <c r="G63" s="241"/>
      <c r="H63" s="241"/>
    </row>
    <row r="64" spans="2:8">
      <c r="B64" s="829">
        <v>17</v>
      </c>
      <c r="C64" s="241">
        <f>7500</f>
        <v>7500</v>
      </c>
      <c r="D64" s="241"/>
      <c r="E64" s="241"/>
      <c r="F64" s="241"/>
      <c r="G64" s="241"/>
      <c r="H64" s="241"/>
    </row>
    <row r="65" spans="2:8">
      <c r="B65" s="829">
        <v>18</v>
      </c>
      <c r="C65" s="241">
        <f>7500</f>
        <v>7500</v>
      </c>
      <c r="D65" s="241"/>
      <c r="E65" s="241"/>
      <c r="F65" s="241"/>
      <c r="G65" s="241"/>
      <c r="H65" s="241"/>
    </row>
    <row r="66" spans="2:8">
      <c r="B66" s="829">
        <v>19</v>
      </c>
      <c r="C66" s="241">
        <f>7500</f>
        <v>7500</v>
      </c>
      <c r="D66" s="241"/>
      <c r="E66" s="241"/>
      <c r="F66" s="241"/>
      <c r="G66" s="241"/>
      <c r="H66" s="241"/>
    </row>
    <row r="67" spans="2:8">
      <c r="B67" s="829">
        <v>20</v>
      </c>
      <c r="C67" s="241">
        <f>7500</f>
        <v>7500</v>
      </c>
      <c r="D67" s="241"/>
      <c r="E67" s="241"/>
      <c r="F67" s="241"/>
      <c r="G67" s="241"/>
      <c r="H67" s="241"/>
    </row>
    <row r="68" spans="2:8">
      <c r="B68" s="829">
        <v>21</v>
      </c>
      <c r="C68" s="241">
        <f>7500</f>
        <v>7500</v>
      </c>
      <c r="D68" s="241"/>
      <c r="E68" s="241"/>
      <c r="F68" s="241"/>
      <c r="G68" s="241"/>
      <c r="H68" s="241"/>
    </row>
    <row r="69" spans="2:8">
      <c r="B69" s="829">
        <v>22</v>
      </c>
      <c r="C69" s="241">
        <f>7500</f>
        <v>7500</v>
      </c>
      <c r="D69" s="241"/>
      <c r="E69" s="241"/>
      <c r="F69" s="241"/>
      <c r="G69" s="241"/>
      <c r="H69" s="241"/>
    </row>
    <row r="70" spans="2:8">
      <c r="B70" s="829">
        <v>23</v>
      </c>
      <c r="C70" s="241">
        <f>7500</f>
        <v>7500</v>
      </c>
      <c r="D70" s="241"/>
      <c r="E70" s="241"/>
      <c r="F70" s="241"/>
      <c r="G70" s="241"/>
      <c r="H70" s="241"/>
    </row>
    <row r="71" spans="2:8">
      <c r="B71" s="829">
        <v>24</v>
      </c>
      <c r="C71" s="241">
        <f>7500</f>
        <v>7500</v>
      </c>
      <c r="D71" s="241"/>
      <c r="E71" s="241"/>
      <c r="F71" s="241"/>
      <c r="G71" s="241"/>
      <c r="H71" s="241"/>
    </row>
    <row r="72" spans="2:8">
      <c r="B72" s="829">
        <v>25</v>
      </c>
      <c r="C72" s="241">
        <f>7500</f>
        <v>7500</v>
      </c>
      <c r="D72" s="241"/>
      <c r="E72" s="241"/>
      <c r="F72" s="241"/>
      <c r="G72" s="241"/>
      <c r="H72" s="241"/>
    </row>
    <row r="73" spans="2:8">
      <c r="B73" s="829">
        <v>26</v>
      </c>
      <c r="C73" s="241">
        <f>7500</f>
        <v>7500</v>
      </c>
      <c r="D73" s="241"/>
      <c r="E73" s="241"/>
      <c r="F73" s="241"/>
      <c r="G73" s="241"/>
      <c r="H73" s="241"/>
    </row>
    <row r="74" spans="2:8">
      <c r="B74" s="829">
        <v>27</v>
      </c>
      <c r="C74" s="241">
        <f>7500</f>
        <v>7500</v>
      </c>
      <c r="D74" s="241"/>
      <c r="E74" s="241"/>
      <c r="F74" s="241"/>
      <c r="G74" s="241"/>
      <c r="H74" s="241"/>
    </row>
    <row r="75" spans="2:8">
      <c r="B75" s="829">
        <v>28</v>
      </c>
      <c r="C75" s="241">
        <f>7500</f>
        <v>7500</v>
      </c>
      <c r="D75" s="241"/>
      <c r="E75" s="241"/>
      <c r="F75" s="241"/>
      <c r="G75" s="241"/>
      <c r="H75" s="241"/>
    </row>
    <row r="76" spans="2:8">
      <c r="B76" s="829">
        <v>29</v>
      </c>
      <c r="C76" s="241">
        <f>7500</f>
        <v>7500</v>
      </c>
      <c r="D76" s="241"/>
      <c r="E76" s="241"/>
      <c r="F76" s="241"/>
      <c r="G76" s="241"/>
      <c r="H76" s="241"/>
    </row>
    <row r="77" spans="2:8">
      <c r="B77" s="829">
        <v>30</v>
      </c>
      <c r="C77" s="241">
        <f>7500</f>
        <v>7500</v>
      </c>
      <c r="D77" s="241"/>
      <c r="E77" s="241"/>
      <c r="F77" s="241"/>
      <c r="G77" s="241"/>
      <c r="H77" s="241"/>
    </row>
    <row r="78" spans="2:8">
      <c r="B78" s="829">
        <v>31</v>
      </c>
      <c r="C78" s="241">
        <f>7500</f>
        <v>7500</v>
      </c>
      <c r="D78" s="241"/>
      <c r="E78" s="241"/>
      <c r="F78" s="241"/>
      <c r="G78" s="241"/>
      <c r="H78" s="241"/>
    </row>
    <row r="79" spans="2:8">
      <c r="B79" s="829">
        <v>32</v>
      </c>
      <c r="C79" s="241">
        <f>7500</f>
        <v>7500</v>
      </c>
      <c r="D79" s="241"/>
      <c r="E79" s="241"/>
      <c r="F79" s="241"/>
      <c r="G79" s="241"/>
      <c r="H79" s="241"/>
    </row>
    <row r="80" spans="2:8">
      <c r="B80" s="829">
        <v>33</v>
      </c>
      <c r="C80" s="241">
        <f>7500</f>
        <v>7500</v>
      </c>
      <c r="D80" s="241"/>
      <c r="E80" s="241"/>
      <c r="F80" s="241"/>
      <c r="G80" s="241"/>
      <c r="H80" s="241"/>
    </row>
    <row r="81" spans="2:8">
      <c r="B81" s="829">
        <v>34</v>
      </c>
      <c r="C81" s="241">
        <f>7500</f>
        <v>7500</v>
      </c>
      <c r="D81" s="241"/>
      <c r="E81" s="241"/>
      <c r="F81" s="241"/>
      <c r="G81" s="241"/>
      <c r="H81" s="241"/>
    </row>
    <row r="82" spans="2:8">
      <c r="B82" s="829">
        <v>35</v>
      </c>
      <c r="C82" s="241">
        <f>7500</f>
        <v>7500</v>
      </c>
      <c r="D82" s="241"/>
      <c r="E82" s="241"/>
      <c r="F82" s="241"/>
      <c r="G82" s="241"/>
      <c r="H82" s="241"/>
    </row>
    <row r="83" spans="2:8">
      <c r="B83" s="829">
        <v>36</v>
      </c>
      <c r="C83" s="241">
        <f>7500</f>
        <v>7500</v>
      </c>
      <c r="D83" s="241"/>
      <c r="E83" s="241"/>
      <c r="F83" s="241"/>
      <c r="G83" s="241"/>
      <c r="H83" s="241"/>
    </row>
    <row r="84" spans="2:8">
      <c r="B84" s="829">
        <v>37</v>
      </c>
      <c r="C84" s="241">
        <f>7500</f>
        <v>7500</v>
      </c>
      <c r="D84" s="241"/>
      <c r="E84" s="241"/>
      <c r="F84" s="241"/>
      <c r="G84" s="241"/>
      <c r="H84" s="241"/>
    </row>
    <row r="85" spans="2:8">
      <c r="B85" s="829">
        <v>38</v>
      </c>
      <c r="C85" s="241">
        <f>7500</f>
        <v>7500</v>
      </c>
      <c r="D85" s="241"/>
      <c r="E85" s="241"/>
      <c r="F85" s="241"/>
      <c r="G85" s="241"/>
      <c r="H85" s="241"/>
    </row>
    <row r="86" spans="2:8">
      <c r="B86" s="829">
        <v>39</v>
      </c>
      <c r="C86" s="241">
        <f>7500</f>
        <v>7500</v>
      </c>
      <c r="D86" s="241"/>
      <c r="E86" s="241"/>
      <c r="F86" s="241"/>
      <c r="G86" s="241"/>
      <c r="H86" s="241"/>
    </row>
    <row r="87" spans="2:8">
      <c r="B87" s="829">
        <v>40</v>
      </c>
      <c r="C87" s="241">
        <f>7500</f>
        <v>7500</v>
      </c>
      <c r="D87" s="241"/>
      <c r="E87" s="241"/>
      <c r="F87" s="241"/>
      <c r="G87" s="241"/>
      <c r="H87" s="241"/>
    </row>
    <row r="88" spans="2:8">
      <c r="B88" s="829">
        <v>41</v>
      </c>
      <c r="C88" s="241">
        <f>7500</f>
        <v>7500</v>
      </c>
      <c r="D88" s="241"/>
      <c r="E88" s="241"/>
      <c r="F88" s="241"/>
      <c r="G88" s="241"/>
      <c r="H88" s="241"/>
    </row>
    <row r="89" spans="2:8">
      <c r="B89" s="829">
        <v>42</v>
      </c>
      <c r="C89" s="241">
        <f>7500</f>
        <v>7500</v>
      </c>
      <c r="D89" s="241"/>
      <c r="E89" s="241"/>
      <c r="F89" s="241"/>
      <c r="G89" s="241"/>
      <c r="H89" s="241"/>
    </row>
    <row r="90" spans="2:8">
      <c r="B90" s="829">
        <v>43</v>
      </c>
      <c r="C90" s="241">
        <f>7500</f>
        <v>7500</v>
      </c>
      <c r="D90" s="241"/>
      <c r="E90" s="241"/>
      <c r="F90" s="241"/>
      <c r="G90" s="241"/>
      <c r="H90" s="241"/>
    </row>
    <row r="91" spans="2:8">
      <c r="B91" s="829">
        <v>44</v>
      </c>
      <c r="C91" s="241">
        <f>7500</f>
        <v>7500</v>
      </c>
      <c r="D91" s="241"/>
      <c r="E91" s="241"/>
      <c r="F91" s="241"/>
      <c r="G91" s="241"/>
      <c r="H91" s="241"/>
    </row>
    <row r="92" spans="2:8">
      <c r="B92" s="829">
        <v>45</v>
      </c>
      <c r="C92" s="241">
        <f>7500</f>
        <v>7500</v>
      </c>
      <c r="D92" s="241"/>
      <c r="E92" s="241"/>
      <c r="F92" s="241"/>
      <c r="G92" s="241"/>
      <c r="H92" s="241"/>
    </row>
    <row r="93" spans="2:8">
      <c r="B93" s="829">
        <v>46</v>
      </c>
      <c r="C93" s="241">
        <f>7500</f>
        <v>7500</v>
      </c>
      <c r="D93" s="241"/>
      <c r="E93" s="241"/>
      <c r="F93" s="241"/>
      <c r="G93" s="241"/>
      <c r="H93" s="241"/>
    </row>
    <row r="94" spans="2:8">
      <c r="B94" s="829">
        <v>47</v>
      </c>
      <c r="C94" s="241">
        <f>7500</f>
        <v>7500</v>
      </c>
      <c r="D94" s="241"/>
      <c r="E94" s="241"/>
      <c r="F94" s="241"/>
      <c r="G94" s="241"/>
      <c r="H94" s="241"/>
    </row>
    <row r="95" spans="2:8">
      <c r="B95" s="829">
        <v>48</v>
      </c>
      <c r="C95" s="241">
        <f>7500</f>
        <v>7500</v>
      </c>
      <c r="D95" s="241"/>
      <c r="E95" s="241"/>
      <c r="F95" s="241"/>
      <c r="G95" s="241"/>
      <c r="H95" s="241"/>
    </row>
    <row r="96" spans="2:8">
      <c r="B96" s="829">
        <v>49</v>
      </c>
      <c r="C96" s="241">
        <f>7500</f>
        <v>7500</v>
      </c>
      <c r="D96" s="241"/>
      <c r="E96" s="241"/>
      <c r="F96" s="241"/>
      <c r="G96" s="241"/>
      <c r="H96" s="241"/>
    </row>
    <row r="97" spans="2:8">
      <c r="B97" s="829">
        <v>50</v>
      </c>
      <c r="C97" s="241">
        <f>7500</f>
        <v>7500</v>
      </c>
      <c r="D97" s="241"/>
      <c r="E97" s="241"/>
      <c r="F97" s="241"/>
      <c r="G97" s="241"/>
      <c r="H97" s="241"/>
    </row>
    <row r="98" spans="2:8">
      <c r="B98" s="829">
        <v>51</v>
      </c>
      <c r="C98" s="241">
        <f>7500</f>
        <v>7500</v>
      </c>
      <c r="D98" s="241"/>
      <c r="E98" s="241"/>
      <c r="F98" s="241"/>
      <c r="G98" s="241"/>
      <c r="H98" s="241"/>
    </row>
    <row r="99" spans="2:8">
      <c r="B99" s="829">
        <v>52</v>
      </c>
      <c r="C99" s="241">
        <f>7500</f>
        <v>7500</v>
      </c>
      <c r="D99" s="241"/>
      <c r="E99" s="241"/>
      <c r="F99" s="241"/>
      <c r="G99" s="241"/>
      <c r="H99" s="241"/>
    </row>
    <row r="100" spans="2:8">
      <c r="B100" s="829">
        <v>53</v>
      </c>
      <c r="C100" s="241">
        <f>7500</f>
        <v>7500</v>
      </c>
      <c r="D100" s="241"/>
      <c r="E100" s="241"/>
      <c r="F100" s="241"/>
      <c r="G100" s="241"/>
      <c r="H100" s="241"/>
    </row>
    <row r="101" spans="2:8">
      <c r="B101" s="829">
        <v>54</v>
      </c>
      <c r="C101" s="241">
        <f>7500</f>
        <v>7500</v>
      </c>
      <c r="D101" s="241"/>
      <c r="E101" s="241"/>
      <c r="F101" s="241"/>
      <c r="G101" s="241"/>
      <c r="H101" s="241"/>
    </row>
    <row r="102" spans="2:8">
      <c r="B102" s="829">
        <v>55</v>
      </c>
      <c r="C102" s="241">
        <f>7500</f>
        <v>7500</v>
      </c>
      <c r="D102" s="241"/>
      <c r="E102" s="241"/>
      <c r="F102" s="241"/>
      <c r="G102" s="241"/>
      <c r="H102" s="241"/>
    </row>
    <row r="103" spans="2:8">
      <c r="B103" s="829">
        <v>56</v>
      </c>
      <c r="C103" s="241">
        <f>7500</f>
        <v>7500</v>
      </c>
      <c r="D103" s="241"/>
      <c r="E103" s="241"/>
      <c r="F103" s="241"/>
      <c r="G103" s="241"/>
      <c r="H103" s="241"/>
    </row>
    <row r="104" spans="2:8">
      <c r="B104" s="829">
        <v>57</v>
      </c>
      <c r="C104" s="241">
        <f>7500</f>
        <v>7500</v>
      </c>
      <c r="D104" s="241"/>
      <c r="E104" s="241"/>
      <c r="F104" s="241"/>
      <c r="G104" s="241"/>
      <c r="H104" s="241"/>
    </row>
    <row r="105" spans="2:8">
      <c r="B105" s="829">
        <v>58</v>
      </c>
      <c r="C105" s="241">
        <f>7500</f>
        <v>7500</v>
      </c>
      <c r="D105" s="241"/>
      <c r="E105" s="241"/>
      <c r="F105" s="241"/>
      <c r="G105" s="241"/>
      <c r="H105" s="241"/>
    </row>
    <row r="106" spans="2:8">
      <c r="B106" s="829">
        <v>59</v>
      </c>
      <c r="C106" s="241">
        <f>7500</f>
        <v>7500</v>
      </c>
      <c r="D106" s="241"/>
      <c r="E106" s="241"/>
      <c r="F106" s="241"/>
      <c r="G106" s="241"/>
      <c r="H106" s="241"/>
    </row>
    <row r="107" spans="2:8">
      <c r="B107" s="829">
        <v>60</v>
      </c>
      <c r="C107" s="241">
        <f>7500</f>
        <v>7500</v>
      </c>
      <c r="D107" s="241"/>
      <c r="E107" s="241"/>
      <c r="F107" s="241"/>
      <c r="G107" s="241"/>
      <c r="H107" s="241"/>
    </row>
    <row r="108" spans="2:8">
      <c r="B108" s="829">
        <v>61</v>
      </c>
      <c r="C108" s="241">
        <f>7500</f>
        <v>7500</v>
      </c>
      <c r="D108" s="241"/>
      <c r="E108" s="241"/>
      <c r="F108" s="241"/>
      <c r="G108" s="241"/>
      <c r="H108" s="241"/>
    </row>
    <row r="109" spans="2:8">
      <c r="B109" s="829">
        <v>62</v>
      </c>
      <c r="C109" s="241">
        <f>7500</f>
        <v>7500</v>
      </c>
      <c r="D109" s="241"/>
      <c r="E109" s="241"/>
      <c r="F109" s="241"/>
      <c r="G109" s="241"/>
      <c r="H109" s="241"/>
    </row>
    <row r="110" spans="2:8">
      <c r="B110" s="829">
        <v>63</v>
      </c>
      <c r="C110" s="241">
        <f>7500</f>
        <v>7500</v>
      </c>
      <c r="D110" s="241"/>
      <c r="E110" s="241"/>
      <c r="F110" s="241"/>
      <c r="G110" s="241"/>
      <c r="H110" s="241"/>
    </row>
    <row r="111" spans="2:8">
      <c r="B111" s="829">
        <v>64</v>
      </c>
      <c r="C111" s="241">
        <f>7500</f>
        <v>7500</v>
      </c>
      <c r="D111" s="241"/>
      <c r="E111" s="241"/>
      <c r="F111" s="241"/>
      <c r="G111" s="241"/>
      <c r="H111" s="241"/>
    </row>
    <row r="112" spans="2:8">
      <c r="B112" s="829">
        <v>65</v>
      </c>
      <c r="C112" s="241">
        <f>7500</f>
        <v>7500</v>
      </c>
      <c r="D112" s="241"/>
      <c r="E112" s="241"/>
      <c r="F112" s="241"/>
      <c r="G112" s="241"/>
      <c r="H112" s="241"/>
    </row>
    <row r="113" spans="2:8">
      <c r="B113" s="829">
        <v>66</v>
      </c>
      <c r="C113" s="241">
        <f>7500</f>
        <v>7500</v>
      </c>
      <c r="D113" s="241"/>
      <c r="E113" s="241"/>
      <c r="F113" s="241"/>
      <c r="G113" s="241"/>
      <c r="H113" s="241"/>
    </row>
    <row r="114" spans="2:8">
      <c r="B114" s="829">
        <f>Design!E18/1000</f>
        <v>66.137042857142859</v>
      </c>
      <c r="C114" s="241">
        <f>7500</f>
        <v>7500</v>
      </c>
      <c r="D114" s="241">
        <f>O6-O10</f>
        <v>134.05940223342714</v>
      </c>
      <c r="E114" s="241">
        <f>O18-O22</f>
        <v>-4144.6580668980087</v>
      </c>
      <c r="F114" s="241">
        <f>O12-O16</f>
        <v>1896.1044983003508</v>
      </c>
      <c r="G114" s="241">
        <f>D114-E114</f>
        <v>4278.7174691314358</v>
      </c>
      <c r="H114" s="241">
        <f>F114-D114</f>
        <v>1762.0450960669236</v>
      </c>
    </row>
    <row r="115" spans="2:8">
      <c r="B115" s="829">
        <v>67</v>
      </c>
      <c r="C115" s="241">
        <f>7500</f>
        <v>7500</v>
      </c>
      <c r="D115" s="241"/>
      <c r="E115" s="241"/>
      <c r="F115" s="241"/>
      <c r="G115" s="241"/>
      <c r="H115" s="241"/>
    </row>
    <row r="116" spans="2:8">
      <c r="B116" s="829">
        <v>68</v>
      </c>
      <c r="C116" s="241">
        <f>7500</f>
        <v>7500</v>
      </c>
      <c r="D116" s="241"/>
      <c r="E116" s="241"/>
      <c r="F116" s="241"/>
      <c r="G116" s="241"/>
      <c r="H116" s="241"/>
    </row>
    <row r="117" spans="2:8">
      <c r="B117" s="829">
        <v>69</v>
      </c>
      <c r="C117" s="241">
        <f>7500</f>
        <v>7500</v>
      </c>
      <c r="D117" s="241"/>
      <c r="E117" s="241"/>
      <c r="F117" s="241"/>
      <c r="G117" s="241"/>
      <c r="H117" s="241"/>
    </row>
    <row r="119" spans="2:8">
      <c r="B119" s="470"/>
      <c r="C119" s="218" t="s">
        <v>773</v>
      </c>
      <c r="D119" s="218" t="s">
        <v>778</v>
      </c>
      <c r="E119" s="218" t="s">
        <v>774</v>
      </c>
      <c r="F119" s="218" t="s">
        <v>775</v>
      </c>
      <c r="G119" s="218"/>
      <c r="H119" s="218"/>
    </row>
    <row r="120" spans="2:8">
      <c r="B120" s="374" t="s">
        <v>9</v>
      </c>
      <c r="C120" s="241">
        <f>C44</f>
        <v>0</v>
      </c>
      <c r="D120" s="241">
        <f t="shared" ref="D120:F120" si="10">D44</f>
        <v>891.30735456785487</v>
      </c>
      <c r="E120" s="241">
        <f t="shared" si="10"/>
        <v>814.18680858655352</v>
      </c>
      <c r="F120" s="241">
        <f t="shared" si="10"/>
        <v>891.30735456785487</v>
      </c>
      <c r="G120" s="241">
        <f t="shared" ref="G120:H120" si="11">G44</f>
        <v>77.120545981301348</v>
      </c>
      <c r="H120" s="241">
        <f t="shared" si="11"/>
        <v>0</v>
      </c>
    </row>
    <row r="121" spans="2:8">
      <c r="B121" s="374" t="s">
        <v>10</v>
      </c>
      <c r="C121" s="241">
        <f>C50</f>
        <v>2770.7566107142857</v>
      </c>
      <c r="D121" s="241">
        <f t="shared" ref="D121:F121" si="12">D50</f>
        <v>1168.7456865613763</v>
      </c>
      <c r="E121" s="241">
        <f t="shared" si="12"/>
        <v>625.62570007506383</v>
      </c>
      <c r="F121" s="241">
        <f t="shared" si="12"/>
        <v>1431.4962985115699</v>
      </c>
      <c r="G121" s="241">
        <f t="shared" ref="G121:H121" si="13">G50</f>
        <v>543.11998648631243</v>
      </c>
      <c r="H121" s="241">
        <f t="shared" si="13"/>
        <v>262.75061195019362</v>
      </c>
    </row>
    <row r="122" spans="2:8">
      <c r="B122" s="374" t="s">
        <v>11</v>
      </c>
      <c r="C122" s="241">
        <f>C62</f>
        <v>7477.6965249999994</v>
      </c>
      <c r="D122" s="241">
        <f t="shared" ref="D122:F122" si="14">D62</f>
        <v>655.64445914580938</v>
      </c>
      <c r="E122" s="241">
        <f t="shared" si="14"/>
        <v>-983.70917012608788</v>
      </c>
      <c r="F122" s="241">
        <f t="shared" si="14"/>
        <v>1427.6585789435021</v>
      </c>
      <c r="G122" s="241">
        <f t="shared" ref="G122:H122" si="15">G62</f>
        <v>1639.3536292718973</v>
      </c>
      <c r="H122" s="241">
        <f t="shared" si="15"/>
        <v>772.01411979769273</v>
      </c>
    </row>
    <row r="123" spans="2:8">
      <c r="B123" s="374" t="s">
        <v>554</v>
      </c>
      <c r="C123" s="241">
        <f>C114</f>
        <v>7500</v>
      </c>
      <c r="D123" s="241">
        <f t="shared" ref="D123:F123" si="16">D114</f>
        <v>134.05940223342714</v>
      </c>
      <c r="E123" s="241">
        <f t="shared" si="16"/>
        <v>-4144.6580668980087</v>
      </c>
      <c r="F123" s="241">
        <f t="shared" si="16"/>
        <v>1896.1044983003508</v>
      </c>
      <c r="G123" s="241">
        <f t="shared" ref="G123:H123" si="17">G114</f>
        <v>4278.7174691314358</v>
      </c>
      <c r="H123" s="241">
        <f t="shared" si="17"/>
        <v>1762.0450960669236</v>
      </c>
    </row>
  </sheetData>
  <mergeCells count="8">
    <mergeCell ref="B18:B22"/>
    <mergeCell ref="Q18:Q22"/>
    <mergeCell ref="B4:L4"/>
    <mergeCell ref="Q4:Z4"/>
    <mergeCell ref="B6:B10"/>
    <mergeCell ref="Q6:Q10"/>
    <mergeCell ref="B12:B16"/>
    <mergeCell ref="Q12:Q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H38"/>
  <sheetViews>
    <sheetView zoomScaleNormal="100" workbookViewId="0"/>
  </sheetViews>
  <sheetFormatPr defaultRowHeight="15"/>
  <cols>
    <col min="1" max="1" width="3" customWidth="1"/>
    <col min="2" max="2" width="39.28515625" customWidth="1"/>
    <col min="3" max="3" width="11.28515625" customWidth="1"/>
    <col min="4" max="6" width="10.7109375" customWidth="1"/>
    <col min="7" max="7" width="10.7109375" style="125" customWidth="1"/>
    <col min="8" max="8" width="26.85546875" style="142" bestFit="1" customWidth="1"/>
  </cols>
  <sheetData>
    <row r="1" spans="1:8" ht="26.25">
      <c r="A1" s="58" t="s">
        <v>461</v>
      </c>
      <c r="C1" s="37"/>
    </row>
    <row r="2" spans="1:8">
      <c r="A2" s="56" t="s">
        <v>52</v>
      </c>
      <c r="B2" s="33" t="s">
        <v>53</v>
      </c>
      <c r="C2" s="42"/>
      <c r="D2" s="33"/>
      <c r="E2" s="57"/>
      <c r="F2" s="57"/>
      <c r="G2" s="160"/>
    </row>
    <row r="3" spans="1:8">
      <c r="C3" s="37"/>
    </row>
    <row r="4" spans="1:8" ht="19.5" thickBot="1">
      <c r="A4" s="5" t="s">
        <v>237</v>
      </c>
      <c r="B4" s="39"/>
      <c r="C4" s="41"/>
      <c r="D4" s="39"/>
      <c r="E4" s="39"/>
      <c r="F4" s="39"/>
      <c r="G4" s="155" t="s">
        <v>100</v>
      </c>
    </row>
    <row r="5" spans="1:8" ht="15.75" thickTop="1">
      <c r="A5" s="927"/>
      <c r="B5" s="19" t="s">
        <v>47</v>
      </c>
      <c r="C5" s="43">
        <f>10 * (1/ton_to_mt) * (USD_BaseYear/USD_2000)</f>
        <v>13.910573495757875</v>
      </c>
      <c r="G5" s="125" t="s">
        <v>93</v>
      </c>
    </row>
    <row r="6" spans="1:8">
      <c r="A6" s="928"/>
      <c r="B6" s="19" t="s">
        <v>17</v>
      </c>
      <c r="C6" s="43">
        <f>30 * (1/ton_to_mt) * (USD_BaseYear/USD_2000)</f>
        <v>41.731720487273627</v>
      </c>
      <c r="G6" s="125" t="s">
        <v>93</v>
      </c>
    </row>
    <row r="7" spans="1:8">
      <c r="A7" s="928"/>
      <c r="B7" s="19" t="s">
        <v>48</v>
      </c>
      <c r="C7" s="43">
        <f>100 * (1/ton_to_mt) * (USD_BaseYear/USD_2000)</f>
        <v>139.10573495757876</v>
      </c>
      <c r="G7" s="125" t="s">
        <v>93</v>
      </c>
    </row>
    <row r="8" spans="1:8">
      <c r="A8" s="928"/>
      <c r="B8" s="19" t="s">
        <v>74</v>
      </c>
      <c r="C8" s="43">
        <v>0</v>
      </c>
      <c r="G8" s="158" t="s">
        <v>76</v>
      </c>
    </row>
    <row r="9" spans="1:8">
      <c r="A9" s="44" t="s">
        <v>52</v>
      </c>
      <c r="B9" s="44" t="str">
        <f>SUMMARY!B28</f>
        <v>Medium</v>
      </c>
      <c r="C9" s="45">
        <f t="array" ref="C9">SUM(IF(B9=B5:B8,C5:C8))</f>
        <v>41.731720487273627</v>
      </c>
      <c r="D9" s="45"/>
      <c r="E9" s="45"/>
      <c r="F9" s="45"/>
      <c r="G9" s="45"/>
    </row>
    <row r="10" spans="1:8" ht="15.75" customHeight="1">
      <c r="A10" s="18"/>
    </row>
    <row r="11" spans="1:8" ht="19.5" thickBot="1">
      <c r="A11" s="5" t="s">
        <v>618</v>
      </c>
      <c r="B11" s="38"/>
      <c r="C11" s="40"/>
      <c r="D11" s="39"/>
      <c r="E11" s="39"/>
      <c r="F11" s="39"/>
      <c r="G11" s="155" t="s">
        <v>100</v>
      </c>
    </row>
    <row r="12" spans="1:8" s="18" customFormat="1" ht="15.75" thickTop="1">
      <c r="A12" s="928"/>
      <c r="B12" s="248" t="s">
        <v>656</v>
      </c>
      <c r="C12" s="265">
        <f>'Oil Data'!F23</f>
        <v>-6.635224630484284E-3</v>
      </c>
      <c r="D12" s="265" t="s">
        <v>62</v>
      </c>
      <c r="E12" s="265">
        <f>'Oil Data'!G23</f>
        <v>-1.4122592106730617E-4</v>
      </c>
      <c r="F12" s="266" t="s">
        <v>60</v>
      </c>
      <c r="G12" s="266"/>
      <c r="H12" s="724" t="s">
        <v>584</v>
      </c>
    </row>
    <row r="13" spans="1:8" s="18" customFormat="1">
      <c r="A13" s="928"/>
      <c r="B13" s="805" t="s">
        <v>657</v>
      </c>
      <c r="C13" s="260">
        <f>'Oil Data'!F22</f>
        <v>4.1456778170240103</v>
      </c>
      <c r="D13" s="260" t="s">
        <v>62</v>
      </c>
      <c r="E13" s="260">
        <f>'Oil Data'!G22</f>
        <v>8.8237731314724593E-2</v>
      </c>
      <c r="F13" s="261" t="s">
        <v>60</v>
      </c>
      <c r="G13" s="261"/>
      <c r="H13" s="724" t="s">
        <v>584</v>
      </c>
    </row>
    <row r="14" spans="1:8" ht="15.75" customHeight="1">
      <c r="A14" s="928"/>
      <c r="B14" s="262" t="s">
        <v>658</v>
      </c>
      <c r="C14" s="263">
        <f>'Oil Data'!F24</f>
        <v>12.955476200969795</v>
      </c>
      <c r="D14" s="263" t="s">
        <v>62</v>
      </c>
      <c r="E14" s="263">
        <f>'Oil Data'!G24</f>
        <v>0.27574787007836138</v>
      </c>
      <c r="F14" s="264" t="s">
        <v>60</v>
      </c>
      <c r="G14" s="264"/>
      <c r="H14" s="724" t="s">
        <v>584</v>
      </c>
    </row>
    <row r="15" spans="1:8" ht="15.75" customHeight="1">
      <c r="A15" s="928"/>
      <c r="B15" s="805" t="s">
        <v>653</v>
      </c>
      <c r="C15" s="260">
        <f>'Oil Data'!F8</f>
        <v>2.51323955345234</v>
      </c>
      <c r="D15" s="260" t="s">
        <v>62</v>
      </c>
      <c r="E15" s="260">
        <f>'Oil Data'!G8</f>
        <v>5.3492472458040417E-2</v>
      </c>
      <c r="F15" s="261" t="s">
        <v>60</v>
      </c>
      <c r="G15" s="261"/>
      <c r="H15" s="142" t="s">
        <v>583</v>
      </c>
    </row>
    <row r="16" spans="1:8" ht="15.75" customHeight="1">
      <c r="A16" s="928"/>
      <c r="B16" s="805" t="s">
        <v>654</v>
      </c>
      <c r="C16" s="260">
        <f>'Oil Data'!F7</f>
        <v>5.395395004659151</v>
      </c>
      <c r="D16" s="260" t="s">
        <v>62</v>
      </c>
      <c r="E16" s="260">
        <f>'Oil Data'!G7</f>
        <v>0.11483705096496748</v>
      </c>
      <c r="F16" s="261" t="s">
        <v>60</v>
      </c>
      <c r="G16" s="261"/>
      <c r="H16" s="142" t="s">
        <v>583</v>
      </c>
    </row>
    <row r="17" spans="1:8" ht="15.75" customHeight="1">
      <c r="A17" s="928"/>
      <c r="B17" s="262" t="s">
        <v>655</v>
      </c>
      <c r="C17" s="263">
        <f>'Oil Data'!F9</f>
        <v>9.0038536295700791</v>
      </c>
      <c r="D17" s="263" t="s">
        <v>62</v>
      </c>
      <c r="E17" s="263">
        <f>'Oil Data'!G9</f>
        <v>0.19164046325564019</v>
      </c>
      <c r="F17" s="264" t="s">
        <v>60</v>
      </c>
      <c r="G17" s="264"/>
      <c r="H17" s="142" t="s">
        <v>583</v>
      </c>
    </row>
    <row r="18" spans="1:8" s="18" customFormat="1">
      <c r="A18" s="928"/>
      <c r="B18" s="19" t="s">
        <v>74</v>
      </c>
      <c r="C18" s="126">
        <v>0</v>
      </c>
      <c r="D18" s="126" t="s">
        <v>62</v>
      </c>
      <c r="E18" s="126">
        <v>0</v>
      </c>
      <c r="F18" s="43" t="s">
        <v>60</v>
      </c>
      <c r="G18" s="161" t="s">
        <v>76</v>
      </c>
      <c r="H18" s="142"/>
    </row>
    <row r="19" spans="1:8" s="18" customFormat="1">
      <c r="A19" s="44" t="s">
        <v>52</v>
      </c>
      <c r="B19" s="44" t="str">
        <f>SUMMARY!B25</f>
        <v>Brown mid (disruption)</v>
      </c>
      <c r="C19" s="45">
        <f t="array" ref="C19">SUM(IF(B12:B18=B19,C12:C18))</f>
        <v>4.1456778170240103</v>
      </c>
      <c r="D19" s="45" t="s">
        <v>62</v>
      </c>
      <c r="E19" s="45">
        <f t="array" ref="E19">SUM(IF(B19=B12:B18,E12:E18))</f>
        <v>8.8237731314724593E-2</v>
      </c>
      <c r="F19" s="45" t="s">
        <v>60</v>
      </c>
      <c r="G19" s="45"/>
      <c r="H19" s="142"/>
    </row>
    <row r="20" spans="1:8" ht="15.75" customHeight="1"/>
    <row r="21" spans="1:8" ht="19.5" thickBot="1">
      <c r="A21" s="5" t="s">
        <v>619</v>
      </c>
      <c r="B21" s="38"/>
      <c r="C21" s="40"/>
      <c r="D21" s="39"/>
      <c r="E21" s="39"/>
      <c r="F21" s="39"/>
      <c r="G21" s="155" t="s">
        <v>100</v>
      </c>
    </row>
    <row r="22" spans="1:8" s="18" customFormat="1" ht="15.75" thickTop="1">
      <c r="A22" s="928"/>
      <c r="B22" s="248" t="s">
        <v>620</v>
      </c>
      <c r="C22" s="265">
        <f>'Oil Data'!F5</f>
        <v>3.3548289452047286</v>
      </c>
      <c r="D22" s="265" t="s">
        <v>62</v>
      </c>
      <c r="E22" s="265">
        <f>'Oil Data'!G5</f>
        <v>7.1405089382063108E-2</v>
      </c>
      <c r="F22" s="266" t="s">
        <v>60</v>
      </c>
      <c r="G22" s="266"/>
      <c r="H22" s="142" t="s">
        <v>583</v>
      </c>
    </row>
    <row r="23" spans="1:8" ht="15.75" customHeight="1">
      <c r="A23" s="928"/>
      <c r="B23" s="753" t="s">
        <v>621</v>
      </c>
      <c r="C23" s="260">
        <f>'Oil Data'!F4</f>
        <v>10.260473406296249</v>
      </c>
      <c r="D23" s="260" t="s">
        <v>62</v>
      </c>
      <c r="E23" s="260">
        <f>'Oil Data'!G4</f>
        <v>0.21838669948466038</v>
      </c>
      <c r="F23" s="261" t="s">
        <v>60</v>
      </c>
      <c r="G23" s="261"/>
      <c r="H23" s="142" t="s">
        <v>583</v>
      </c>
    </row>
    <row r="24" spans="1:8">
      <c r="A24" s="928"/>
      <c r="B24" s="262" t="s">
        <v>622</v>
      </c>
      <c r="C24" s="263">
        <f>'Oil Data'!F6</f>
        <v>21.212664120882131</v>
      </c>
      <c r="D24" s="263" t="s">
        <v>62</v>
      </c>
      <c r="E24" s="263">
        <f>'Oil Data'!G6</f>
        <v>0.45149609781098321</v>
      </c>
      <c r="F24" s="264" t="s">
        <v>60</v>
      </c>
      <c r="G24" s="264"/>
      <c r="H24" s="142" t="s">
        <v>583</v>
      </c>
    </row>
    <row r="25" spans="1:8">
      <c r="A25" s="928"/>
      <c r="B25" s="19" t="s">
        <v>74</v>
      </c>
      <c r="C25" s="126">
        <v>0</v>
      </c>
      <c r="D25" s="126" t="s">
        <v>62</v>
      </c>
      <c r="E25" s="126">
        <v>0</v>
      </c>
      <c r="F25" s="43" t="s">
        <v>60</v>
      </c>
      <c r="G25" s="161" t="s">
        <v>76</v>
      </c>
    </row>
    <row r="26" spans="1:8">
      <c r="A26" s="44" t="s">
        <v>52</v>
      </c>
      <c r="B26" s="44" t="str">
        <f>SUMMARY!B26</f>
        <v>Leiby mid (monopsony)</v>
      </c>
      <c r="C26" s="45">
        <f t="array" ref="C26">SUM(IF(B22:B25=B26,C22:C25))</f>
        <v>10.260473406296249</v>
      </c>
      <c r="D26" s="45" t="s">
        <v>62</v>
      </c>
      <c r="E26" s="45">
        <f t="array" ref="E26">SUM(IF(B26=B22:B25,E22:E25))</f>
        <v>0.21838669948466038</v>
      </c>
      <c r="F26" s="45" t="s">
        <v>60</v>
      </c>
      <c r="G26" s="45"/>
    </row>
    <row r="28" spans="1:8" ht="19.5" thickBot="1">
      <c r="A28" s="5" t="s">
        <v>617</v>
      </c>
      <c r="B28" s="38"/>
      <c r="C28" s="40"/>
      <c r="D28" s="39"/>
      <c r="E28" s="39"/>
      <c r="F28" s="39"/>
      <c r="G28" s="155" t="s">
        <v>100</v>
      </c>
    </row>
    <row r="29" spans="1:8" ht="15.75" thickTop="1">
      <c r="A29" s="771"/>
      <c r="B29" s="773" t="s">
        <v>623</v>
      </c>
      <c r="C29" s="774">
        <f>75000000000/18690000/365*(USD_BaseYear/USD_2009)</f>
        <v>11.155995483629162</v>
      </c>
      <c r="D29" s="774" t="s">
        <v>62</v>
      </c>
      <c r="E29" s="774">
        <f>C29*ealloc_perbbloil_to_pergalgas</f>
        <v>0.23744723431966827</v>
      </c>
      <c r="F29" s="775" t="s">
        <v>60</v>
      </c>
      <c r="G29" s="775" t="s">
        <v>85</v>
      </c>
      <c r="H29" s="724" t="s">
        <v>582</v>
      </c>
    </row>
    <row r="30" spans="1:8">
      <c r="A30" s="772"/>
      <c r="B30" s="776" t="s">
        <v>624</v>
      </c>
      <c r="C30" s="777">
        <f>90000000000/18690000/365*(USD_BaseYear/USD_2009)</f>
        <v>13.387194580354992</v>
      </c>
      <c r="D30" s="777" t="s">
        <v>62</v>
      </c>
      <c r="E30" s="777">
        <f>C30*ealloc_perbbloil_to_pergalgas</f>
        <v>0.28493668118360188</v>
      </c>
      <c r="F30" s="778" t="s">
        <v>60</v>
      </c>
      <c r="G30" s="778" t="s">
        <v>85</v>
      </c>
      <c r="H30" s="724" t="s">
        <v>582</v>
      </c>
    </row>
    <row r="31" spans="1:8">
      <c r="A31" s="772"/>
      <c r="B31" s="773" t="s">
        <v>82</v>
      </c>
      <c r="C31" s="774">
        <f>33*(USD_BaseYear/USD_2009)</f>
        <v>33.485992227598061</v>
      </c>
      <c r="D31" s="774" t="s">
        <v>62</v>
      </c>
      <c r="E31" s="774">
        <f>0.03*(USD_BaseYear/USD_2007)</f>
        <v>3.1596307764211011E-2</v>
      </c>
      <c r="F31" s="775" t="s">
        <v>60</v>
      </c>
      <c r="G31" s="775"/>
      <c r="H31" s="724" t="s">
        <v>582</v>
      </c>
    </row>
    <row r="32" spans="1:8">
      <c r="A32" s="772"/>
      <c r="B32" s="776" t="s">
        <v>83</v>
      </c>
      <c r="C32" s="777">
        <f>86*(USD_BaseYear/USD_2009)</f>
        <v>87.266525199194945</v>
      </c>
      <c r="D32" s="777" t="s">
        <v>62</v>
      </c>
      <c r="E32" s="777">
        <f>0.15*(USD_BaseYear/USD_2007)</f>
        <v>0.15798153882105506</v>
      </c>
      <c r="F32" s="778" t="s">
        <v>60</v>
      </c>
      <c r="G32" s="778"/>
      <c r="H32" s="724" t="s">
        <v>582</v>
      </c>
    </row>
    <row r="33" spans="1:7">
      <c r="A33" s="772"/>
      <c r="B33" s="19" t="s">
        <v>74</v>
      </c>
      <c r="C33" s="126">
        <v>0</v>
      </c>
      <c r="D33" s="126" t="s">
        <v>62</v>
      </c>
      <c r="E33" s="126">
        <v>0</v>
      </c>
      <c r="F33" s="43" t="s">
        <v>60</v>
      </c>
      <c r="G33" s="161" t="s">
        <v>76</v>
      </c>
    </row>
    <row r="34" spans="1:7">
      <c r="A34" s="44" t="s">
        <v>52</v>
      </c>
      <c r="B34" s="44" t="str">
        <f>SUMMARY!B27</f>
        <v>Delucchi low</v>
      </c>
      <c r="C34" s="45">
        <f t="array" ref="C34">SUM(IF(B29:B33=B34,C29:C33))</f>
        <v>33.485992227598061</v>
      </c>
      <c r="D34" s="45" t="s">
        <v>62</v>
      </c>
      <c r="E34" s="45">
        <f t="array" ref="E34">SUM(IF(B34=B29:B33,E29:E33))</f>
        <v>3.1596307764211011E-2</v>
      </c>
      <c r="F34" s="45" t="s">
        <v>60</v>
      </c>
      <c r="G34" s="45"/>
    </row>
    <row r="36" spans="1:7" ht="19.5" thickBot="1">
      <c r="A36" s="5" t="s">
        <v>735</v>
      </c>
      <c r="B36" s="38"/>
      <c r="C36" s="40"/>
      <c r="D36" s="39"/>
      <c r="E36" s="39"/>
      <c r="F36" s="39"/>
      <c r="G36" s="155" t="s">
        <v>100</v>
      </c>
    </row>
    <row r="37" spans="1:7" ht="15.75" thickTop="1">
      <c r="A37" s="772"/>
      <c r="B37" s="776" t="s">
        <v>734</v>
      </c>
      <c r="C37" s="777">
        <f>0.1*USD_BaseYear/USD_2000</f>
        <v>0.12619460000000002</v>
      </c>
      <c r="D37" s="777" t="s">
        <v>62</v>
      </c>
      <c r="E37" s="777">
        <f>C37*ealloc_perbbloil_to_pergalgas</f>
        <v>2.6859601010101007E-3</v>
      </c>
      <c r="F37" s="778" t="s">
        <v>60</v>
      </c>
      <c r="G37" s="778"/>
    </row>
    <row r="38" spans="1:7">
      <c r="C38" t="s">
        <v>736</v>
      </c>
      <c r="E38" s="789">
        <f>-PV(8%,12,E37*12500/Vehicle!B42)</f>
        <v>10.198718825701386</v>
      </c>
    </row>
  </sheetData>
  <mergeCells count="3">
    <mergeCell ref="A5:A8"/>
    <mergeCell ref="A12:A18"/>
    <mergeCell ref="A22:A2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R124"/>
  <sheetViews>
    <sheetView zoomScale="70" zoomScaleNormal="70" workbookViewId="0"/>
  </sheetViews>
  <sheetFormatPr defaultRowHeight="15"/>
  <cols>
    <col min="1" max="1" width="22.7109375" style="81" customWidth="1"/>
    <col min="2" max="4" width="12.42578125" style="82" customWidth="1"/>
    <col min="5" max="5" width="9.28515625" style="82" customWidth="1"/>
    <col min="6" max="6" width="10.5703125" style="82" customWidth="1"/>
    <col min="7" max="9" width="10.140625" style="82" customWidth="1"/>
    <col min="10" max="10" width="10.140625" style="115" customWidth="1"/>
    <col min="11" max="17" width="10.140625" style="82" customWidth="1"/>
    <col min="18" max="18" width="9.7109375" style="82" bestFit="1" customWidth="1"/>
    <col min="19" max="71" width="8.140625" style="82" customWidth="1"/>
    <col min="72" max="16384" width="9.140625" style="82"/>
  </cols>
  <sheetData>
    <row r="1" spans="1:18" s="80" customFormat="1" ht="28.5">
      <c r="A1" s="94" t="s">
        <v>38</v>
      </c>
      <c r="J1" s="113"/>
    </row>
    <row r="3" spans="1:18" ht="18.75">
      <c r="A3" s="558" t="s">
        <v>438</v>
      </c>
      <c r="B3" s="170"/>
      <c r="C3" s="170"/>
      <c r="D3" s="170"/>
      <c r="E3" s="170"/>
      <c r="F3" s="170"/>
      <c r="G3" s="170"/>
      <c r="H3" s="170"/>
      <c r="I3" s="170"/>
      <c r="J3" s="170"/>
    </row>
    <row r="4" spans="1:18" ht="32.25" customHeight="1">
      <c r="A4" s="486" t="s">
        <v>660</v>
      </c>
      <c r="B4" s="484"/>
      <c r="C4" s="484"/>
      <c r="D4" s="484"/>
      <c r="E4" s="484"/>
      <c r="F4" s="484"/>
      <c r="G4" s="484"/>
      <c r="H4" s="484"/>
      <c r="I4" s="484"/>
      <c r="J4" s="484"/>
      <c r="K4" s="484"/>
      <c r="L4" s="484"/>
      <c r="N4" s="931" t="s">
        <v>474</v>
      </c>
      <c r="O4" s="931"/>
    </row>
    <row r="5" spans="1:18" ht="30">
      <c r="A5" s="822"/>
      <c r="B5" s="487" t="s">
        <v>626</v>
      </c>
      <c r="C5" s="487" t="s">
        <v>593</v>
      </c>
      <c r="D5" s="822" t="s">
        <v>625</v>
      </c>
      <c r="E5" s="487" t="s">
        <v>15</v>
      </c>
      <c r="F5" s="488" t="s">
        <v>2</v>
      </c>
      <c r="G5" s="488" t="s">
        <v>43</v>
      </c>
      <c r="H5" s="488" t="s">
        <v>25</v>
      </c>
      <c r="I5" s="488" t="s">
        <v>26</v>
      </c>
      <c r="J5" s="488" t="s">
        <v>27</v>
      </c>
      <c r="K5" s="488" t="s">
        <v>39</v>
      </c>
      <c r="L5" s="488" t="s">
        <v>3</v>
      </c>
      <c r="N5" s="545" t="s">
        <v>472</v>
      </c>
      <c r="O5" s="545" t="s">
        <v>473</v>
      </c>
    </row>
    <row r="6" spans="1:18">
      <c r="A6" s="645" t="s">
        <v>8</v>
      </c>
      <c r="B6" s="485">
        <f>B$23*$F46 / Vehicle_life * P_given_A_at_social_rate</f>
        <v>335.04288137349306</v>
      </c>
      <c r="C6" s="485">
        <f>C$23*$F46 / Vehicle_life * P_given_A_at_social_rate</f>
        <v>829.22473140215186</v>
      </c>
      <c r="D6" s="627">
        <f>D$23*$F46 / Vehicle_life * P_given_A_at_social_rate</f>
        <v>119.9726900992793</v>
      </c>
      <c r="E6" s="485">
        <f t="shared" ref="E6:L6" si="0">E23*J46 / Vehicle_life * P_given_A_at_social_rate</f>
        <v>1407.6500251373261</v>
      </c>
      <c r="F6" s="485">
        <f t="shared" si="0"/>
        <v>292.04749719495413</v>
      </c>
      <c r="G6" s="485">
        <f t="shared" si="0"/>
        <v>0</v>
      </c>
      <c r="H6" s="485">
        <f t="shared" si="0"/>
        <v>22.384922827257611</v>
      </c>
      <c r="I6" s="485">
        <f t="shared" si="0"/>
        <v>31.36204100209612</v>
      </c>
      <c r="J6" s="485">
        <f t="shared" si="0"/>
        <v>105.72172869636664</v>
      </c>
      <c r="K6" s="485">
        <f t="shared" si="0"/>
        <v>0</v>
      </c>
      <c r="L6" s="485">
        <f t="shared" si="0"/>
        <v>102.4797200743992</v>
      </c>
      <c r="N6" s="544">
        <f>F46</f>
        <v>6046.1918254500342</v>
      </c>
      <c r="O6" s="544">
        <f>E46</f>
        <v>0</v>
      </c>
    </row>
    <row r="7" spans="1:18">
      <c r="A7" s="645" t="s">
        <v>9</v>
      </c>
      <c r="B7" s="485">
        <f>B$23*$F66 / Vehicle_life * P_given_A_at_social_rate</f>
        <v>239.31634383820932</v>
      </c>
      <c r="C7" s="485">
        <f>C$23*$F66 / Vehicle_life * P_given_A_at_social_rate</f>
        <v>592.3033795729657</v>
      </c>
      <c r="D7" s="627">
        <f>D$23*$F66 / Vehicle_life * P_given_A_at_social_rate</f>
        <v>85.694778642342385</v>
      </c>
      <c r="E7" s="485">
        <f t="shared" ref="E7:F7" si="1">E23*J66 / Vehicle_life * P_given_A_at_social_rate</f>
        <v>1009.3880874553493</v>
      </c>
      <c r="F7" s="485">
        <f t="shared" si="1"/>
        <v>292.04749719495413</v>
      </c>
      <c r="G7" s="485">
        <f t="shared" ref="G7" si="2">G23*L66 / Vehicle_life * P_given_A_at_social_rate</f>
        <v>0</v>
      </c>
      <c r="H7" s="485">
        <f t="shared" ref="H7" si="3">H23*M66 / Vehicle_life * P_given_A_at_social_rate</f>
        <v>18.803335174896393</v>
      </c>
      <c r="I7" s="485">
        <f t="shared" ref="I7" si="4">I23*N66 / Vehicle_life * P_given_A_at_social_rate</f>
        <v>31.36204100209612</v>
      </c>
      <c r="J7" s="485">
        <f t="shared" ref="J7" si="5">J23*O66 / Vehicle_life * P_given_A_at_social_rate</f>
        <v>105.72172869636664</v>
      </c>
      <c r="K7" s="485">
        <f t="shared" ref="K7" si="6">K23*P66 / Vehicle_life * P_given_A_at_social_rate</f>
        <v>0</v>
      </c>
      <c r="L7" s="485">
        <f t="shared" ref="L7" si="7">L23*Q66 / Vehicle_life * P_given_A_at_social_rate</f>
        <v>72.288655173533442</v>
      </c>
      <c r="N7" s="544">
        <f>F66</f>
        <v>4318.7084467500245</v>
      </c>
      <c r="O7" s="544">
        <f>E66</f>
        <v>0</v>
      </c>
    </row>
    <row r="8" spans="1:18">
      <c r="A8" s="645" t="s">
        <v>10</v>
      </c>
      <c r="B8" s="485">
        <f>B$23*$F86 / Vehicle_life * P_given_A_at_social_rate</f>
        <v>194.46127091397832</v>
      </c>
      <c r="C8" s="485">
        <f>C$23*$F86 / Vehicle_life * P_given_A_at_social_rate</f>
        <v>481.28793090818442</v>
      </c>
      <c r="D8" s="627">
        <f>D$23*$F86 / Vehicle_life * P_given_A_at_social_rate</f>
        <v>69.633002486231831</v>
      </c>
      <c r="E8" s="485">
        <f t="shared" ref="E8:F8" si="8">E23*J86 / Vehicle_life * P_given_A_at_social_rate</f>
        <v>818.74042762098486</v>
      </c>
      <c r="F8" s="485">
        <f t="shared" si="8"/>
        <v>209.13521274130665</v>
      </c>
      <c r="G8" s="485">
        <f t="shared" ref="G8" si="9">G23*L86 / Vehicle_life * P_given_A_at_social_rate</f>
        <v>0</v>
      </c>
      <c r="H8" s="485">
        <f t="shared" ref="H8" si="10">H23*M86 / Vehicle_life * P_given_A_at_social_rate</f>
        <v>13.465068318743308</v>
      </c>
      <c r="I8" s="485">
        <f t="shared" ref="I8" si="11">I23*N86 / Vehicle_life * P_given_A_at_social_rate</f>
        <v>28.840368419298553</v>
      </c>
      <c r="J8" s="485">
        <f t="shared" ref="J8" si="12">J23*O86 / Vehicle_life * P_given_A_at_social_rate</f>
        <v>90.511729316181587</v>
      </c>
      <c r="K8" s="485">
        <f t="shared" ref="K8" si="13">K23*P86 / Vehicle_life * P_given_A_at_social_rate</f>
        <v>0</v>
      </c>
      <c r="L8" s="485">
        <f t="shared" ref="L8" si="14">L23*Q86 / Vehicle_life * P_given_A_at_social_rate</f>
        <v>51.765905969767296</v>
      </c>
      <c r="N8" s="544">
        <f>F86</f>
        <v>3509.2527313124397</v>
      </c>
      <c r="O8" s="544">
        <f>E86</f>
        <v>9295.4475569607584</v>
      </c>
    </row>
    <row r="9" spans="1:18">
      <c r="A9" s="645" t="s">
        <v>11</v>
      </c>
      <c r="B9" s="485">
        <f>B$23*$F105 / Vehicle_life * P_given_A_at_social_rate</f>
        <v>168.42228059307067</v>
      </c>
      <c r="C9" s="485">
        <f>C$23*$F105 / Vehicle_life * P_given_A_at_social_rate</f>
        <v>416.84192726136246</v>
      </c>
      <c r="D9" s="627">
        <f>D$23*$F105 / Vehicle_life * P_given_A_at_social_rate</f>
        <v>60.308919242135367</v>
      </c>
      <c r="E9" s="485">
        <f t="shared" ref="E9:F9" si="15">E23*J105 / Vehicle_life * P_given_A_at_social_rate</f>
        <v>707.82059160599943</v>
      </c>
      <c r="F9" s="485">
        <f t="shared" si="15"/>
        <v>156.24541099930042</v>
      </c>
      <c r="G9" s="485">
        <f t="shared" ref="G9" si="16">G23*L105 / Vehicle_life * P_given_A_at_social_rate</f>
        <v>0</v>
      </c>
      <c r="H9" s="485">
        <f t="shared" ref="H9" si="17">H23*M105 / Vehicle_life * P_given_A_at_social_rate</f>
        <v>10.059784318569569</v>
      </c>
      <c r="I9" s="485">
        <f t="shared" ref="I9" si="18">I23*N105 / Vehicle_life * P_given_A_at_social_rate</f>
        <v>27.231791791103284</v>
      </c>
      <c r="J9" s="485">
        <f t="shared" ref="J9" si="19">J23*O105 / Vehicle_life * P_given_A_at_social_rate</f>
        <v>80.809260532273498</v>
      </c>
      <c r="K9" s="485">
        <f t="shared" ref="K9" si="20">K23*P105 / Vehicle_life * P_given_A_at_social_rate</f>
        <v>0</v>
      </c>
      <c r="L9" s="485">
        <f t="shared" ref="L9" si="21">L23*Q105 / Vehicle_life * P_given_A_at_social_rate</f>
        <v>38.674430517840392</v>
      </c>
      <c r="N9" s="544">
        <f>F105</f>
        <v>3039.3524911526138</v>
      </c>
      <c r="O9" s="544">
        <f>E105</f>
        <v>27311.893626238252</v>
      </c>
    </row>
    <row r="10" spans="1:18">
      <c r="A10" s="645" t="s">
        <v>24</v>
      </c>
      <c r="B10" s="485">
        <f>B$23*$F124  / Vehicle_life * P_given_A_at_social_rate</f>
        <v>0</v>
      </c>
      <c r="C10" s="485">
        <f>C$23*$F124 / Vehicle_life * P_given_A_at_social_rate</f>
        <v>0</v>
      </c>
      <c r="D10" s="627">
        <f>D$23*$F124 / Vehicle_life * P_given_A_at_social_rate</f>
        <v>0</v>
      </c>
      <c r="E10" s="485">
        <f t="shared" ref="E10:F10" si="22">E23*J124 / Vehicle_life * P_given_A_at_social_rate</f>
        <v>0</v>
      </c>
      <c r="F10" s="485">
        <f t="shared" si="22"/>
        <v>0</v>
      </c>
      <c r="G10" s="485">
        <f t="shared" ref="G10" si="23">G23*L124 / Vehicle_life * P_given_A_at_social_rate</f>
        <v>0</v>
      </c>
      <c r="H10" s="485">
        <f t="shared" ref="H10" si="24">H23*M124 / Vehicle_life * P_given_A_at_social_rate</f>
        <v>0</v>
      </c>
      <c r="I10" s="485">
        <f t="shared" ref="I10" si="25">I23*N124 / Vehicle_life * P_given_A_at_social_rate</f>
        <v>22.479784634369594</v>
      </c>
      <c r="J10" s="485">
        <f t="shared" ref="J10" si="26">J23*O124 / Vehicle_life * P_given_A_at_social_rate</f>
        <v>52.146528343478138</v>
      </c>
      <c r="K10" s="485">
        <f t="shared" ref="K10" si="27">K23*P124 / Vehicle_life * P_given_A_at_social_rate</f>
        <v>0</v>
      </c>
      <c r="L10" s="485">
        <f t="shared" ref="L10" si="28">L23*Q124 / Vehicle_life * P_given_A_at_social_rate</f>
        <v>0</v>
      </c>
      <c r="N10" s="544">
        <f>F124</f>
        <v>0</v>
      </c>
      <c r="O10" s="544">
        <f>E124</f>
        <v>62336.668455009261</v>
      </c>
    </row>
    <row r="11" spans="1:18">
      <c r="A11" s="556"/>
      <c r="B11" s="557"/>
      <c r="C11" s="557"/>
      <c r="D11" s="557"/>
      <c r="E11" s="557"/>
      <c r="F11" s="557"/>
      <c r="G11" s="557"/>
      <c r="H11" s="557"/>
      <c r="I11" s="557"/>
      <c r="J11" s="404"/>
      <c r="K11" s="557"/>
      <c r="L11" s="557"/>
      <c r="M11" s="557"/>
      <c r="N11" s="557"/>
      <c r="O11" s="557"/>
      <c r="P11" s="557"/>
      <c r="Q11" s="557"/>
      <c r="R11" s="557"/>
    </row>
    <row r="13" spans="1:18" ht="18.75">
      <c r="A13" s="120" t="s">
        <v>236</v>
      </c>
      <c r="B13"/>
      <c r="C13"/>
      <c r="D13"/>
      <c r="E13"/>
      <c r="F13"/>
      <c r="G13"/>
      <c r="H13"/>
      <c r="I13"/>
      <c r="J13"/>
      <c r="K13"/>
      <c r="L13" s="125"/>
    </row>
    <row r="14" spans="1:18">
      <c r="A14" s="107"/>
      <c r="B14" s="108" t="s">
        <v>626</v>
      </c>
      <c r="C14" s="108" t="s">
        <v>593</v>
      </c>
      <c r="D14" s="108" t="s">
        <v>625</v>
      </c>
      <c r="E14" s="108" t="s">
        <v>54</v>
      </c>
      <c r="F14" s="88" t="s">
        <v>2</v>
      </c>
      <c r="G14" s="88" t="s">
        <v>43</v>
      </c>
      <c r="H14" s="88" t="s">
        <v>25</v>
      </c>
      <c r="I14" s="88" t="s">
        <v>26</v>
      </c>
      <c r="J14" s="88" t="s">
        <v>27</v>
      </c>
      <c r="K14" s="88" t="s">
        <v>39</v>
      </c>
      <c r="L14" s="88" t="s">
        <v>3</v>
      </c>
      <c r="M14" s="125"/>
    </row>
    <row r="15" spans="1:18" ht="15.75" thickBot="1">
      <c r="A15" s="55"/>
      <c r="B15" s="106" t="s">
        <v>60</v>
      </c>
      <c r="C15" s="106" t="s">
        <v>60</v>
      </c>
      <c r="D15" s="106" t="s">
        <v>60</v>
      </c>
      <c r="E15" s="106" t="s">
        <v>61</v>
      </c>
      <c r="F15" s="105" t="s">
        <v>61</v>
      </c>
      <c r="G15" s="105" t="s">
        <v>61</v>
      </c>
      <c r="H15" s="105" t="s">
        <v>61</v>
      </c>
      <c r="I15" s="105" t="s">
        <v>61</v>
      </c>
      <c r="J15" s="105" t="s">
        <v>61</v>
      </c>
      <c r="K15" s="105" t="s">
        <v>61</v>
      </c>
      <c r="L15" s="105" t="s">
        <v>61</v>
      </c>
      <c r="M15" s="157" t="s">
        <v>101</v>
      </c>
    </row>
    <row r="16" spans="1:18" ht="15.75" thickTop="1">
      <c r="A16" s="368" t="s">
        <v>50</v>
      </c>
      <c r="B16" s="369" t="s">
        <v>76</v>
      </c>
      <c r="C16" s="369" t="s">
        <v>76</v>
      </c>
      <c r="D16" s="369" t="s">
        <v>76</v>
      </c>
      <c r="E16" s="369" t="s">
        <v>76</v>
      </c>
      <c r="F16" s="370">
        <f>2683.35201443357 * USD_BaseYear/USD_2000  / ton_to_mt</f>
        <v>3732.6965411768119</v>
      </c>
      <c r="G16" s="370">
        <f>160936.66 * USD_BaseYear/USD_2000 / ton_to_mt</f>
        <v>223872.12370917966</v>
      </c>
      <c r="H16" s="370">
        <f>8809.435771 * USD_BaseYear/USD_2000 / ton_to_mt</f>
        <v>12254.430374865395</v>
      </c>
      <c r="I16" s="370">
        <f>35183.3088393681 * USD_BaseYear/USD_2000 / ton_to_mt</f>
        <v>48942.000343397769</v>
      </c>
      <c r="J16" s="370">
        <f>266759.8 * USD_BaseYear/USD_2000 / ton_to_mt</f>
        <v>371078.18036136712</v>
      </c>
      <c r="K16" s="370">
        <f>54508.97 * USD_BaseYear/USD_2000 / ton_to_mt</f>
        <v>75825.103336306114</v>
      </c>
      <c r="L16" s="370">
        <f>24769.363243 * USD_BaseYear/USD_2000 / ton_to_mt</f>
        <v>34455.604783487513</v>
      </c>
      <c r="M16" s="146" t="s">
        <v>93</v>
      </c>
    </row>
    <row r="17" spans="1:18">
      <c r="A17" s="31" t="s">
        <v>96</v>
      </c>
      <c r="B17" s="132" t="s">
        <v>76</v>
      </c>
      <c r="C17" s="132" t="s">
        <v>76</v>
      </c>
      <c r="D17" s="132" t="s">
        <v>76</v>
      </c>
      <c r="E17" s="132" t="s">
        <v>76</v>
      </c>
      <c r="F17" s="138">
        <f>272.371896176514 * USD_BaseYear/USD_2000  / ton_to_mt</f>
        <v>378.88492799423312</v>
      </c>
      <c r="G17" s="138">
        <f>32903.943 * USD_BaseYear/USD_2000 / ton_to_mt</f>
        <v>45771.271740172786</v>
      </c>
      <c r="H17" s="138">
        <f>2020.19308 * USD_BaseYear/USD_2000 / ton_to_mt</f>
        <v>2810.2044314961468</v>
      </c>
      <c r="I17" s="138">
        <f>3571.25881762683 * USD_BaseYear/USD_2000 / ton_to_mt</f>
        <v>4967.8258254971388</v>
      </c>
      <c r="J17" s="138">
        <f>28378.946 * USD_BaseYear/USD_2000 / ton_to_mt</f>
        <v>39476.741406514397</v>
      </c>
      <c r="K17" s="138">
        <f>10702.504 * USD_BaseYear/USD_2000 / ton_to_mt</f>
        <v>14887.796848064265</v>
      </c>
      <c r="L17" s="138">
        <f>2712.777978 * USD_BaseYear/USD_2000 / ton_to_mt</f>
        <v>3773.6297440642438</v>
      </c>
      <c r="M17" s="147" t="s">
        <v>93</v>
      </c>
    </row>
    <row r="18" spans="1:18">
      <c r="A18" s="27" t="s">
        <v>51</v>
      </c>
      <c r="B18" s="366" t="s">
        <v>76</v>
      </c>
      <c r="C18" s="366" t="s">
        <v>76</v>
      </c>
      <c r="D18" s="366" t="s">
        <v>76</v>
      </c>
      <c r="E18" s="366" t="s">
        <v>76</v>
      </c>
      <c r="F18" s="367">
        <f>49.7110891404717 * USD_BaseYear/USD_2000 / ton_to_mt</f>
        <v>69.150975904270283</v>
      </c>
      <c r="G18" s="367">
        <f>2431.45 * USD_BaseYear/USD_2000 / ton_to_mt</f>
        <v>3382.2863926260484</v>
      </c>
      <c r="H18" s="367">
        <f>1025.169365 * USD_BaseYear/USD_2000 / ton_to_mt</f>
        <v>1426.0693797431932</v>
      </c>
      <c r="I18" s="367">
        <f>651.796928827383 * USD_BaseYear/USD_2000 / ton_to_mt</f>
        <v>906.68690827625767</v>
      </c>
      <c r="J18" s="367">
        <f>5672.321 * USD_BaseYear/USD_2000 / ton_to_mt</f>
        <v>7890.523816203081</v>
      </c>
      <c r="K18" s="367">
        <f>3831.649 * USD_BaseYear/USD_2000 / ton_to_mt</f>
        <v>5330.043502444717</v>
      </c>
      <c r="L18" s="367">
        <f>541.636099 * USD_BaseYear/USD_2000 / ton_to_mt</f>
        <v>753.44687630950875</v>
      </c>
      <c r="M18" s="150" t="s">
        <v>93</v>
      </c>
    </row>
    <row r="19" spans="1:18">
      <c r="A19" s="371" t="s">
        <v>434</v>
      </c>
      <c r="B19" s="372" t="s">
        <v>76</v>
      </c>
      <c r="C19" s="372" t="s">
        <v>76</v>
      </c>
      <c r="D19" s="372" t="s">
        <v>76</v>
      </c>
      <c r="E19" s="372" t="s">
        <v>76</v>
      </c>
      <c r="F19" s="373">
        <f>638.232359230221 * USD_BaseYear/USD_2000 / ton_to_mt</f>
        <v>887.81781404429319</v>
      </c>
      <c r="G19" s="373">
        <f>63685.3036883175 * USD_BaseYear/USD_2000 / ton_to_mt</f>
        <v>88589.909755600063</v>
      </c>
      <c r="H19" s="373">
        <f>2475.74594700574 * USD_BaseYear/USD_2000 / ton_to_mt</f>
        <v>3443.904595264803</v>
      </c>
      <c r="I19" s="373">
        <f>8368.31175533093 * USD_BaseYear/USD_2000 / ton_to_mt</f>
        <v>11640.801570794549</v>
      </c>
      <c r="J19" s="373">
        <f>54513.2539721778 * USD_BaseYear/USD_2000 / ton_to_mt</f>
        <v>75831.062587289431</v>
      </c>
      <c r="K19" s="373">
        <f>18335.7394255528 * USD_BaseYear/USD_2000 / ton_to_mt</f>
        <v>25506.065087821757</v>
      </c>
      <c r="L19" s="373">
        <f>5145.10104729602 * USD_BaseYear/USD_2000 / ton_to_mt</f>
        <v>7157.13062615121</v>
      </c>
      <c r="M19" s="216" t="s">
        <v>93</v>
      </c>
    </row>
    <row r="20" spans="1:18">
      <c r="A20" s="136" t="s">
        <v>82</v>
      </c>
      <c r="B20" s="137" t="s">
        <v>76</v>
      </c>
      <c r="C20" s="137" t="s">
        <v>76</v>
      </c>
      <c r="D20" s="137" t="s">
        <v>76</v>
      </c>
      <c r="E20" s="137" t="s">
        <v>76</v>
      </c>
      <c r="F20" s="138">
        <f>(0.09)*1000 * (USD_BaseYear/USD_1991)</f>
        <v>134.49758419781156</v>
      </c>
      <c r="G20" s="138"/>
      <c r="H20" s="138">
        <f>(1.17 + 0.2 + 0)*1000 * (USD_BaseYear/USD_1991)</f>
        <v>2047.3521150111312</v>
      </c>
      <c r="I20" s="138">
        <f>(9.75 + 0.4)*1000 * (USD_BaseYear/USD_1991)</f>
        <v>15168.33866230875</v>
      </c>
      <c r="J20" s="138"/>
      <c r="K20" s="138">
        <f>(6.9 + 0.9)*1000 * (USD_BaseYear/USD_1991)</f>
        <v>11656.45729714367</v>
      </c>
      <c r="L20" s="138">
        <f>(0.01 + 0.19)*1000 * (USD_BaseYear/USD_1991)</f>
        <v>298.88352043958128</v>
      </c>
      <c r="M20" s="125" t="s">
        <v>86</v>
      </c>
    </row>
    <row r="21" spans="1:18">
      <c r="A21" s="136" t="s">
        <v>83</v>
      </c>
      <c r="B21" s="137" t="s">
        <v>76</v>
      </c>
      <c r="C21" s="137" t="s">
        <v>76</v>
      </c>
      <c r="D21" s="137" t="s">
        <v>76</v>
      </c>
      <c r="E21" s="137" t="s">
        <v>76</v>
      </c>
      <c r="F21" s="138">
        <f>(0.01)*1000 * (USD_BaseYear/USD_1991)</f>
        <v>14.944176021979063</v>
      </c>
      <c r="G21" s="138"/>
      <c r="H21" s="138">
        <f>(17.29 + 1.1)*1000 * (USD_BaseYear/USD_1991)</f>
        <v>27482.339704419497</v>
      </c>
      <c r="I21" s="138">
        <f>(133.78 + 3.9)*1000 * (USD_BaseYear/USD_1991)</f>
        <v>205751.41547060775</v>
      </c>
      <c r="J21" s="138"/>
      <c r="K21" s="138">
        <f>(65.22 + 4)*1000 * (USD_BaseYear/USD_1991)</f>
        <v>103443.58642413908</v>
      </c>
      <c r="L21" s="138">
        <f>(0.11 + 0.3)*1000 * (USD_BaseYear/USD_1991)</f>
        <v>612.7112169011416</v>
      </c>
      <c r="M21" s="125" t="s">
        <v>86</v>
      </c>
    </row>
    <row r="22" spans="1:18">
      <c r="A22" s="31" t="s">
        <v>74</v>
      </c>
      <c r="B22" s="132" t="s">
        <v>76</v>
      </c>
      <c r="C22" s="132" t="s">
        <v>76</v>
      </c>
      <c r="D22" s="132" t="s">
        <v>76</v>
      </c>
      <c r="E22" s="132" t="s">
        <v>76</v>
      </c>
      <c r="F22" s="138">
        <v>0</v>
      </c>
      <c r="G22" s="138">
        <v>0</v>
      </c>
      <c r="H22" s="138">
        <v>0</v>
      </c>
      <c r="I22" s="138">
        <v>0</v>
      </c>
      <c r="J22" s="138">
        <v>0</v>
      </c>
      <c r="K22" s="138">
        <v>0</v>
      </c>
      <c r="L22" s="138">
        <v>0</v>
      </c>
      <c r="M22" s="158" t="s">
        <v>76</v>
      </c>
    </row>
    <row r="23" spans="1:18">
      <c r="A23" s="53" t="str">
        <f>SUMMARY!B19</f>
        <v>Weighted Average</v>
      </c>
      <c r="B23" s="109">
        <f>Valuation!E19</f>
        <v>8.8237731314724593E-2</v>
      </c>
      <c r="C23" s="109">
        <f>Valuation!E26</f>
        <v>0.21838669948466038</v>
      </c>
      <c r="D23" s="109">
        <f>Valuation!E34</f>
        <v>3.1596307764211011E-2</v>
      </c>
      <c r="E23" s="109">
        <f>Valuation!$C$9</f>
        <v>41.731720487273627</v>
      </c>
      <c r="F23" s="54">
        <f t="array" ref="F23">SUM(IF($A23=$A16:$A22,F16:F22))</f>
        <v>887.81781404429319</v>
      </c>
      <c r="G23" s="54">
        <f t="array" ref="G23">SUM(IF($A23=$A16:$A22,G16:G22))</f>
        <v>88589.909755600063</v>
      </c>
      <c r="H23" s="54">
        <f t="array" ref="H23">SUM(IF($A23=$A16:$A22,H16:H22))</f>
        <v>3443.904595264803</v>
      </c>
      <c r="I23" s="54">
        <f t="array" ref="I23">SUM(IF($A23=$A16:$A22,I16:I22))</f>
        <v>11640.801570794549</v>
      </c>
      <c r="J23" s="54">
        <f t="array" ref="J23">SUM(IF($A23=$A16:$A22,J16:J22))</f>
        <v>75831.062587289431</v>
      </c>
      <c r="K23" s="54">
        <f t="array" ref="K23">SUM(IF($A23=$A16:$A22,K16:K22))</f>
        <v>25506.065087821757</v>
      </c>
      <c r="L23" s="54">
        <f t="array" ref="L23">SUM(IF($A23=$A16:$A22,L16:L22))</f>
        <v>7157.13062615121</v>
      </c>
      <c r="M23" s="45"/>
    </row>
    <row r="24" spans="1:18">
      <c r="J24" s="82"/>
      <c r="L24" s="115"/>
    </row>
    <row r="25" spans="1:18" ht="18.75">
      <c r="A25" s="120" t="s">
        <v>446</v>
      </c>
    </row>
    <row r="26" spans="1:18" ht="15" customHeight="1">
      <c r="A26" s="83"/>
      <c r="B26" s="929" t="s">
        <v>68</v>
      </c>
      <c r="C26" s="929"/>
      <c r="D26" s="929"/>
      <c r="E26" s="929"/>
      <c r="F26" s="930"/>
      <c r="G26" s="929" t="s">
        <v>66</v>
      </c>
      <c r="H26" s="929"/>
      <c r="I26" s="929"/>
      <c r="J26" s="930"/>
      <c r="K26" s="929" t="s">
        <v>67</v>
      </c>
      <c r="L26" s="929"/>
      <c r="M26" s="929"/>
      <c r="N26" s="929"/>
      <c r="O26" s="929"/>
      <c r="P26" s="929"/>
      <c r="Q26" s="929"/>
    </row>
    <row r="27" spans="1:18" ht="45">
      <c r="A27" s="83" t="s">
        <v>8</v>
      </c>
      <c r="B27" s="79" t="s">
        <v>398</v>
      </c>
      <c r="C27" s="79" t="s">
        <v>397</v>
      </c>
      <c r="D27" s="79" t="s">
        <v>396</v>
      </c>
      <c r="E27" s="79" t="s">
        <v>56</v>
      </c>
      <c r="F27" s="121" t="s">
        <v>55</v>
      </c>
      <c r="G27" s="79" t="s">
        <v>65</v>
      </c>
      <c r="H27" s="67" t="s">
        <v>28</v>
      </c>
      <c r="I27" s="67" t="s">
        <v>29</v>
      </c>
      <c r="J27" s="827" t="s">
        <v>667</v>
      </c>
      <c r="K27" s="67" t="s">
        <v>2</v>
      </c>
      <c r="L27" s="67" t="s">
        <v>43</v>
      </c>
      <c r="M27" s="67" t="s">
        <v>25</v>
      </c>
      <c r="N27" s="67" t="s">
        <v>26</v>
      </c>
      <c r="O27" s="67" t="s">
        <v>27</v>
      </c>
      <c r="P27" s="67" t="s">
        <v>39</v>
      </c>
      <c r="Q27" s="67" t="s">
        <v>3</v>
      </c>
    </row>
    <row r="28" spans="1:18" ht="15.75" thickBot="1">
      <c r="A28" s="72"/>
      <c r="B28" s="72" t="s">
        <v>30</v>
      </c>
      <c r="C28" s="162" t="s">
        <v>30</v>
      </c>
      <c r="D28" s="72" t="s">
        <v>31</v>
      </c>
      <c r="E28" s="72" t="s">
        <v>34</v>
      </c>
      <c r="F28" s="122" t="s">
        <v>33</v>
      </c>
      <c r="G28" s="72" t="s">
        <v>35</v>
      </c>
      <c r="H28" s="72" t="s">
        <v>35</v>
      </c>
      <c r="I28" s="72" t="s">
        <v>35</v>
      </c>
      <c r="J28" s="116" t="s">
        <v>35</v>
      </c>
      <c r="K28" s="72" t="s">
        <v>35</v>
      </c>
      <c r="L28" s="72" t="s">
        <v>35</v>
      </c>
      <c r="M28" s="72" t="s">
        <v>35</v>
      </c>
      <c r="N28" s="72" t="s">
        <v>35</v>
      </c>
      <c r="O28" s="72" t="s">
        <v>35</v>
      </c>
      <c r="P28" s="72" t="s">
        <v>35</v>
      </c>
      <c r="Q28" s="72" t="s">
        <v>35</v>
      </c>
      <c r="R28" s="162" t="s">
        <v>101</v>
      </c>
    </row>
    <row r="29" spans="1:18" ht="15.75" thickTop="1">
      <c r="A29" s="179" t="s">
        <v>480</v>
      </c>
      <c r="B29" s="180">
        <v>29.637037457999998</v>
      </c>
      <c r="C29" s="186">
        <v>0</v>
      </c>
      <c r="D29" s="181">
        <v>0</v>
      </c>
      <c r="E29" s="181">
        <v>0</v>
      </c>
      <c r="F29" s="182">
        <f t="shared" ref="F29:F41" si="29">Lifetime_mileage/B29</f>
        <v>5061.2346194376496</v>
      </c>
      <c r="G29" s="183">
        <f t="shared" ref="G29:G35" si="30">F29*galgas_to_mtCO2</f>
        <v>44.46092163791198</v>
      </c>
      <c r="H29" s="184"/>
      <c r="I29" s="184"/>
      <c r="J29" s="185">
        <f t="shared" ref="J29:J41" si="31">G29+H29*CH4_to_CO2eq + I29*N2O_to_CO2eq</f>
        <v>44.46092163791198</v>
      </c>
      <c r="K29" s="184"/>
      <c r="L29" s="184"/>
      <c r="M29" s="184"/>
      <c r="N29" s="184"/>
      <c r="O29" s="184"/>
      <c r="P29" s="184"/>
      <c r="Q29" s="184"/>
      <c r="R29" s="82" t="s">
        <v>102</v>
      </c>
    </row>
    <row r="30" spans="1:18">
      <c r="A30" s="179" t="s">
        <v>481</v>
      </c>
      <c r="B30" s="180">
        <v>36.223045782</v>
      </c>
      <c r="C30" s="186">
        <v>0</v>
      </c>
      <c r="D30" s="181">
        <v>0</v>
      </c>
      <c r="E30" s="181">
        <v>0</v>
      </c>
      <c r="F30" s="182">
        <f t="shared" si="29"/>
        <v>4141.0101431762587</v>
      </c>
      <c r="G30" s="183">
        <f t="shared" si="30"/>
        <v>36.377117703746165</v>
      </c>
      <c r="H30" s="184"/>
      <c r="I30" s="184"/>
      <c r="J30" s="185">
        <f t="shared" si="31"/>
        <v>36.377117703746165</v>
      </c>
      <c r="K30" s="184"/>
      <c r="L30" s="184"/>
      <c r="M30" s="184"/>
      <c r="N30" s="184"/>
      <c r="O30" s="184"/>
      <c r="P30" s="184"/>
      <c r="Q30" s="184"/>
      <c r="R30" s="82" t="s">
        <v>102</v>
      </c>
    </row>
    <row r="31" spans="1:18">
      <c r="A31" s="179" t="s">
        <v>482</v>
      </c>
      <c r="B31" s="180">
        <v>29.401822875000001</v>
      </c>
      <c r="C31" s="186">
        <v>0</v>
      </c>
      <c r="D31" s="181">
        <v>0</v>
      </c>
      <c r="E31" s="181">
        <v>0</v>
      </c>
      <c r="F31" s="182">
        <f t="shared" si="29"/>
        <v>5101.7244963931507</v>
      </c>
      <c r="G31" s="183">
        <f t="shared" si="30"/>
        <v>44.816609011015274</v>
      </c>
      <c r="H31" s="184"/>
      <c r="I31" s="184"/>
      <c r="J31" s="185">
        <f t="shared" si="31"/>
        <v>44.816609011015274</v>
      </c>
      <c r="K31" s="184"/>
      <c r="L31" s="184"/>
      <c r="M31" s="184"/>
      <c r="N31" s="184"/>
      <c r="O31" s="184"/>
      <c r="P31" s="184"/>
      <c r="Q31" s="184"/>
      <c r="R31" s="82" t="s">
        <v>102</v>
      </c>
    </row>
    <row r="32" spans="1:18">
      <c r="A32" s="179" t="s">
        <v>489</v>
      </c>
      <c r="B32" s="180">
        <v>26.579247879</v>
      </c>
      <c r="C32" s="186">
        <v>0</v>
      </c>
      <c r="D32" s="181">
        <v>0</v>
      </c>
      <c r="E32" s="181">
        <v>0</v>
      </c>
      <c r="F32" s="182">
        <f t="shared" si="29"/>
        <v>5643.500549107468</v>
      </c>
      <c r="G32" s="183">
        <f t="shared" si="30"/>
        <v>49.575894923689461</v>
      </c>
      <c r="H32" s="184"/>
      <c r="I32" s="184"/>
      <c r="J32" s="185">
        <f t="shared" si="31"/>
        <v>49.575894923689461</v>
      </c>
      <c r="K32" s="184"/>
      <c r="L32" s="184"/>
      <c r="M32" s="184"/>
      <c r="N32" s="184"/>
      <c r="O32" s="184"/>
      <c r="P32" s="184"/>
      <c r="Q32" s="184"/>
      <c r="R32" s="82" t="s">
        <v>103</v>
      </c>
    </row>
    <row r="33" spans="1:18">
      <c r="A33" s="179" t="s">
        <v>483</v>
      </c>
      <c r="B33" s="180">
        <v>34.106114535000003</v>
      </c>
      <c r="C33" s="186">
        <v>0</v>
      </c>
      <c r="D33" s="181">
        <v>0</v>
      </c>
      <c r="E33" s="181">
        <v>0</v>
      </c>
      <c r="F33" s="182">
        <f t="shared" si="29"/>
        <v>4398.0383589596122</v>
      </c>
      <c r="G33" s="183">
        <f t="shared" si="30"/>
        <v>38.635007768116608</v>
      </c>
      <c r="H33" s="184"/>
      <c r="I33" s="184"/>
      <c r="J33" s="185">
        <f t="shared" si="31"/>
        <v>38.635007768116608</v>
      </c>
      <c r="K33" s="184"/>
      <c r="L33" s="184"/>
      <c r="M33" s="184"/>
      <c r="N33" s="184"/>
      <c r="O33" s="184"/>
      <c r="P33" s="184"/>
      <c r="Q33" s="184"/>
      <c r="R33" s="82" t="s">
        <v>104</v>
      </c>
    </row>
    <row r="34" spans="1:18">
      <c r="A34" s="179" t="s">
        <v>484</v>
      </c>
      <c r="B34" s="180">
        <v>32.930041619999997</v>
      </c>
      <c r="C34" s="186">
        <v>0</v>
      </c>
      <c r="D34" s="181">
        <v>0</v>
      </c>
      <c r="E34" s="181">
        <v>0</v>
      </c>
      <c r="F34" s="182">
        <f t="shared" si="29"/>
        <v>4555.111157493885</v>
      </c>
      <c r="G34" s="183">
        <f t="shared" si="30"/>
        <v>40.014829474120781</v>
      </c>
      <c r="H34" s="184"/>
      <c r="I34" s="184"/>
      <c r="J34" s="185">
        <f t="shared" si="31"/>
        <v>40.014829474120781</v>
      </c>
      <c r="K34" s="184"/>
      <c r="L34" s="184"/>
      <c r="M34" s="184"/>
      <c r="N34" s="184"/>
      <c r="O34" s="184"/>
      <c r="P34" s="184"/>
      <c r="Q34" s="184"/>
      <c r="R34" s="82" t="s">
        <v>90</v>
      </c>
    </row>
    <row r="35" spans="1:18">
      <c r="A35" s="179" t="s">
        <v>485</v>
      </c>
      <c r="B35" s="180">
        <v>22.110170802000003</v>
      </c>
      <c r="C35" s="186">
        <v>0</v>
      </c>
      <c r="D35" s="181">
        <v>0</v>
      </c>
      <c r="E35" s="181">
        <v>0</v>
      </c>
      <c r="F35" s="182">
        <f t="shared" si="29"/>
        <v>6784.2081069057849</v>
      </c>
      <c r="G35" s="183">
        <f t="shared" si="30"/>
        <v>59.596554535924561</v>
      </c>
      <c r="H35" s="184"/>
      <c r="I35" s="184"/>
      <c r="J35" s="185">
        <f t="shared" si="31"/>
        <v>59.596554535924561</v>
      </c>
      <c r="K35" s="184"/>
      <c r="L35" s="184"/>
      <c r="M35" s="184"/>
      <c r="N35" s="184"/>
      <c r="O35" s="184"/>
      <c r="P35" s="184"/>
      <c r="Q35" s="184"/>
      <c r="R35" s="82" t="s">
        <v>216</v>
      </c>
    </row>
    <row r="36" spans="1:18">
      <c r="A36" s="179" t="s">
        <v>487</v>
      </c>
      <c r="B36" s="180"/>
      <c r="C36" s="186">
        <v>0</v>
      </c>
      <c r="D36" s="186"/>
      <c r="E36" s="186"/>
      <c r="F36" s="187"/>
      <c r="G36" s="188"/>
      <c r="H36" s="189"/>
      <c r="I36" s="189"/>
      <c r="J36" s="190"/>
      <c r="K36" s="189">
        <f>38.2/1000000*Lifetime_mileage</f>
        <v>5.73</v>
      </c>
      <c r="L36" s="189"/>
      <c r="M36" s="189">
        <f>3.6/1000000*Lifetime_mileage</f>
        <v>0.54</v>
      </c>
      <c r="N36" s="189">
        <f>0.2/1000000*Lifetime_mileage</f>
        <v>3.0000000000000002E-2</v>
      </c>
      <c r="O36" s="189"/>
      <c r="P36" s="189">
        <f>0.2/1000000*Lifetime_mileage</f>
        <v>3.0000000000000002E-2</v>
      </c>
      <c r="Q36" s="189">
        <f>3.1/1000000*Lifetime_mileage</f>
        <v>0.46499999999999997</v>
      </c>
      <c r="R36" s="82" t="s">
        <v>86</v>
      </c>
    </row>
    <row r="37" spans="1:18">
      <c r="A37" s="179" t="s">
        <v>486</v>
      </c>
      <c r="B37" s="180"/>
      <c r="C37" s="186">
        <v>0</v>
      </c>
      <c r="D37" s="186"/>
      <c r="E37" s="186"/>
      <c r="F37" s="187"/>
      <c r="G37" s="188"/>
      <c r="H37" s="189"/>
      <c r="I37" s="189"/>
      <c r="J37" s="190"/>
      <c r="K37" s="189">
        <f>45.3/1000000*Lifetime_mileage</f>
        <v>6.7949999999999999</v>
      </c>
      <c r="L37" s="189"/>
      <c r="M37" s="189">
        <f>4/1000000*Lifetime_mileage</f>
        <v>0.6</v>
      </c>
      <c r="N37" s="189">
        <f>0.3/1000000*Lifetime_mileage</f>
        <v>4.4999999999999998E-2</v>
      </c>
      <c r="O37" s="189"/>
      <c r="P37" s="189">
        <f>0.2/1000000*Lifetime_mileage</f>
        <v>3.0000000000000002E-2</v>
      </c>
      <c r="Q37" s="189">
        <f>3.7/1000000*Lifetime_mileage</f>
        <v>0.55500000000000005</v>
      </c>
      <c r="R37" s="82" t="s">
        <v>86</v>
      </c>
    </row>
    <row r="38" spans="1:18">
      <c r="A38" s="179" t="s">
        <v>488</v>
      </c>
      <c r="B38" s="180">
        <v>26</v>
      </c>
      <c r="C38" s="186">
        <v>0</v>
      </c>
      <c r="D38" s="181">
        <v>0</v>
      </c>
      <c r="E38" s="181">
        <v>0</v>
      </c>
      <c r="F38" s="182">
        <f>Lifetime_mileage/B38</f>
        <v>5769.2307692307695</v>
      </c>
      <c r="G38" s="183">
        <f>F38*galgas_to_mtCO2</f>
        <v>50.680384615384618</v>
      </c>
      <c r="H38" s="189"/>
      <c r="I38" s="189"/>
      <c r="J38" s="190"/>
      <c r="K38" s="189"/>
      <c r="L38" s="189"/>
      <c r="M38" s="189">
        <f>9.2*SUMMARY!$B$32*0.454/1000</f>
        <v>5.0121600000000002E-2</v>
      </c>
      <c r="N38" s="189"/>
      <c r="O38" s="189"/>
      <c r="P38" s="184">
        <f>0.2*SUMMARY!$B$32*SUMMARY!B42/1000</f>
        <v>2.6421942857142861E-3</v>
      </c>
      <c r="Q38" s="189"/>
      <c r="R38" s="82" t="s">
        <v>105</v>
      </c>
    </row>
    <row r="39" spans="1:18">
      <c r="A39" s="73" t="s">
        <v>23</v>
      </c>
      <c r="B39" s="64">
        <v>24.1</v>
      </c>
      <c r="C39" s="385">
        <v>0</v>
      </c>
      <c r="D39" s="68">
        <v>0</v>
      </c>
      <c r="E39" s="68">
        <v>0</v>
      </c>
      <c r="F39" s="123">
        <f t="shared" si="29"/>
        <v>6224.0663900414938</v>
      </c>
      <c r="G39" s="65">
        <f>368 * Lifetime_mileage / 1000000</f>
        <v>55.2</v>
      </c>
      <c r="H39" s="70"/>
      <c r="I39" s="70"/>
      <c r="J39" s="117">
        <f t="shared" si="31"/>
        <v>55.2</v>
      </c>
      <c r="K39" s="70">
        <f>8.503 * Lifetime_mileage / 1000000</f>
        <v>1.27545</v>
      </c>
      <c r="L39" s="70"/>
      <c r="M39" s="70">
        <f>0.207 * Lifetime_mileage / 1000000</f>
        <v>3.1050000000000001E-2</v>
      </c>
      <c r="N39" s="110">
        <f>0.025 * Lifetime_mileage / 1000000</f>
        <v>3.7499999999999999E-3</v>
      </c>
      <c r="O39" s="70">
        <f>0.011 * Lifetime_mileage / 1000000</f>
        <v>1.65E-3</v>
      </c>
      <c r="P39" s="70">
        <f>0.007 * Lifetime_mileage / 1000000</f>
        <v>1.0499999999999999E-3</v>
      </c>
      <c r="Q39" s="112">
        <f>0.3 * Lifetime_mileage / 1000000</f>
        <v>4.4999999999999998E-2</v>
      </c>
      <c r="R39" s="82" t="s">
        <v>88</v>
      </c>
    </row>
    <row r="40" spans="1:18">
      <c r="A40" s="73" t="s">
        <v>97</v>
      </c>
      <c r="B40" s="64">
        <v>23.5</v>
      </c>
      <c r="C40" s="385">
        <v>0</v>
      </c>
      <c r="D40" s="68">
        <v>0</v>
      </c>
      <c r="E40" s="68">
        <v>0</v>
      </c>
      <c r="F40" s="123">
        <f t="shared" si="29"/>
        <v>6382.9787234042551</v>
      </c>
      <c r="G40" s="69">
        <f>F40*galgas_to_mtCO2</f>
        <v>56.07191489361702</v>
      </c>
      <c r="H40" s="139">
        <f>0.0106 * Lifetime_mileage / 1000000</f>
        <v>1.5900000000000001E-3</v>
      </c>
      <c r="I40" s="139">
        <f>0.012 * Lifetime_mileage / 1000000</f>
        <v>1.8E-3</v>
      </c>
      <c r="J40" s="140">
        <f t="shared" si="31"/>
        <v>56.669664893617018</v>
      </c>
      <c r="K40" s="139">
        <f>3.492 * Lifetime_mileage / 1000000</f>
        <v>0.52380000000000004</v>
      </c>
      <c r="L40" s="139"/>
      <c r="M40" s="139">
        <f>0.069 * Lifetime_mileage / 1000000</f>
        <v>1.035E-2</v>
      </c>
      <c r="N40" s="139">
        <f>(0.0081+0.0205) * Lifetime_mileage / 1000000</f>
        <v>4.2900000000000004E-3</v>
      </c>
      <c r="O40" s="139">
        <f>(0.0075+0.0073) * Lifetime_mileage / 1000000</f>
        <v>2.2200000000000002E-3</v>
      </c>
      <c r="P40" s="139"/>
      <c r="Q40" s="66">
        <f>(0.095+0.057) * Lifetime_mileage / 1000000</f>
        <v>2.2800000000000001E-2</v>
      </c>
      <c r="R40" s="82" t="s">
        <v>93</v>
      </c>
    </row>
    <row r="41" spans="1:18">
      <c r="A41" s="73" t="s">
        <v>98</v>
      </c>
      <c r="B41" s="64">
        <v>23.9</v>
      </c>
      <c r="C41" s="385">
        <v>0</v>
      </c>
      <c r="D41" s="68">
        <v>0</v>
      </c>
      <c r="E41" s="68">
        <v>0</v>
      </c>
      <c r="F41" s="123">
        <f t="shared" si="29"/>
        <v>6276.1506276150631</v>
      </c>
      <c r="G41" s="69">
        <f>F41*galgas_to_mtCO2</f>
        <v>55.133472803347281</v>
      </c>
      <c r="H41" s="139">
        <f>0.0102 * Lifetime_mileage / 1000000</f>
        <v>1.5299999999999999E-3</v>
      </c>
      <c r="I41" s="139">
        <f>0.012 * Lifetime_mileage / 1000000</f>
        <v>1.8E-3</v>
      </c>
      <c r="J41" s="140">
        <f t="shared" si="31"/>
        <v>55.729722803347279</v>
      </c>
      <c r="K41" s="139">
        <f>3.46 * Lifetime_mileage / 1000000</f>
        <v>0.51900000000000002</v>
      </c>
      <c r="L41" s="139"/>
      <c r="M41" s="139">
        <f>0.069 * Lifetime_mileage / 1000000</f>
        <v>1.035E-2</v>
      </c>
      <c r="N41" s="139">
        <f>(0.0081+0.0205) * Lifetime_mileage / 1000000</f>
        <v>4.2900000000000004E-3</v>
      </c>
      <c r="O41" s="139">
        <f>(0.0075+0.0073) * Lifetime_mileage / 1000000</f>
        <v>2.2200000000000002E-3</v>
      </c>
      <c r="P41" s="139"/>
      <c r="Q41" s="66">
        <f>(0.093+0.057) * Lifetime_mileage / 1000000</f>
        <v>2.2499999999999999E-2</v>
      </c>
      <c r="R41" s="82" t="s">
        <v>93</v>
      </c>
    </row>
    <row r="42" spans="1:18">
      <c r="A42" s="563" t="s">
        <v>389</v>
      </c>
      <c r="B42" s="564">
        <v>24.80900446601942</v>
      </c>
      <c r="C42" s="565">
        <v>0</v>
      </c>
      <c r="D42" s="565">
        <v>0</v>
      </c>
      <c r="E42" s="565">
        <v>0</v>
      </c>
      <c r="F42" s="566">
        <f t="shared" ref="F42:F44" si="32">Lifetime_mileage/B42</f>
        <v>6046.1918254500342</v>
      </c>
      <c r="G42" s="567">
        <f t="shared" ref="G42:G45" si="33">F42*galgas_to_mtCO2</f>
        <v>53.113376709848374</v>
      </c>
      <c r="H42" s="568">
        <f>0.0106 * Lifetime_mileage / 1000000</f>
        <v>1.5900000000000001E-3</v>
      </c>
      <c r="I42" s="568">
        <f t="shared" ref="I42:I45" si="34">0.012 * Lifetime_mileage / 1000000</f>
        <v>1.8E-3</v>
      </c>
      <c r="J42" s="569">
        <f t="shared" ref="J42:J44" si="35">G42+H42*CH4_to_CO2eq + I42*N2O_to_CO2eq</f>
        <v>53.711126709848372</v>
      </c>
      <c r="K42" s="568">
        <f>3.492 * Lifetime_mileage / 1000000</f>
        <v>0.52380000000000004</v>
      </c>
      <c r="L42" s="568"/>
      <c r="M42" s="568">
        <f t="shared" ref="M42:M45" si="36">0.069 * Lifetime_mileage / 1000000</f>
        <v>1.035E-2</v>
      </c>
      <c r="N42" s="568">
        <f t="shared" ref="N42:N45" si="37">(0.0081+0.0205) * Lifetime_mileage / 1000000</f>
        <v>4.2900000000000004E-3</v>
      </c>
      <c r="O42" s="568">
        <f t="shared" ref="O42:O45" si="38">(0.0075+0.0073) * Lifetime_mileage / 1000000</f>
        <v>2.2200000000000002E-3</v>
      </c>
      <c r="P42" s="568"/>
      <c r="Q42" s="568">
        <f>(0.095+0.057) * Lifetime_mileage / 1000000</f>
        <v>2.2800000000000001E-2</v>
      </c>
      <c r="R42" s="383" t="s">
        <v>390</v>
      </c>
    </row>
    <row r="43" spans="1:18">
      <c r="A43" s="375" t="s">
        <v>391</v>
      </c>
      <c r="B43" s="376">
        <v>27.203789077669907</v>
      </c>
      <c r="C43" s="386">
        <v>0</v>
      </c>
      <c r="D43" s="377">
        <v>0</v>
      </c>
      <c r="E43" s="377">
        <v>0</v>
      </c>
      <c r="F43" s="378">
        <f t="shared" si="32"/>
        <v>5513.9377669681589</v>
      </c>
      <c r="G43" s="379">
        <f t="shared" si="33"/>
        <v>48.437737707708486</v>
      </c>
      <c r="H43" s="380">
        <f>0.0104 * Lifetime_mileage / 1000000</f>
        <v>1.56E-3</v>
      </c>
      <c r="I43" s="380">
        <f t="shared" si="34"/>
        <v>1.8E-3</v>
      </c>
      <c r="J43" s="381">
        <f t="shared" si="35"/>
        <v>49.034737707708487</v>
      </c>
      <c r="K43" s="380">
        <f>3.482 * Lifetime_mileage / 1000000</f>
        <v>0.5223000000000001</v>
      </c>
      <c r="L43" s="380"/>
      <c r="M43" s="380">
        <f t="shared" si="36"/>
        <v>1.035E-2</v>
      </c>
      <c r="N43" s="380">
        <f t="shared" si="37"/>
        <v>4.2900000000000004E-3</v>
      </c>
      <c r="O43" s="380">
        <f t="shared" si="38"/>
        <v>2.2200000000000002E-3</v>
      </c>
      <c r="P43" s="380"/>
      <c r="Q43" s="382">
        <f>(0.094+0.057) * Lifetime_mileage / 1000000</f>
        <v>2.265E-2</v>
      </c>
      <c r="R43" s="383" t="s">
        <v>392</v>
      </c>
    </row>
    <row r="44" spans="1:18">
      <c r="A44" s="375" t="s">
        <v>393</v>
      </c>
      <c r="B44" s="376">
        <v>29.447953398058253</v>
      </c>
      <c r="C44" s="386">
        <v>0</v>
      </c>
      <c r="D44" s="377">
        <v>0</v>
      </c>
      <c r="E44" s="377">
        <v>0</v>
      </c>
      <c r="F44" s="378">
        <f t="shared" si="32"/>
        <v>5093.7325922925002</v>
      </c>
      <c r="G44" s="379">
        <f t="shared" si="33"/>
        <v>44.746403330252697</v>
      </c>
      <c r="H44" s="380">
        <f>0.0102 * Lifetime_mileage / 1000000</f>
        <v>1.5299999999999999E-3</v>
      </c>
      <c r="I44" s="380">
        <f t="shared" si="34"/>
        <v>1.8E-3</v>
      </c>
      <c r="J44" s="381">
        <f t="shared" si="35"/>
        <v>45.342653330252695</v>
      </c>
      <c r="K44" s="380">
        <f>3.46 * Lifetime_mileage / 1000000</f>
        <v>0.51900000000000002</v>
      </c>
      <c r="L44" s="380"/>
      <c r="M44" s="380">
        <f t="shared" si="36"/>
        <v>1.035E-2</v>
      </c>
      <c r="N44" s="380">
        <f t="shared" si="37"/>
        <v>4.2900000000000004E-3</v>
      </c>
      <c r="O44" s="380">
        <f t="shared" si="38"/>
        <v>2.2200000000000002E-3</v>
      </c>
      <c r="P44" s="380"/>
      <c r="Q44" s="382">
        <f>(0.093+0.057) * Lifetime_mileage / 1000000</f>
        <v>2.2499999999999999E-2</v>
      </c>
      <c r="R44" s="383" t="s">
        <v>394</v>
      </c>
    </row>
    <row r="45" spans="1:18">
      <c r="A45" s="375" t="s">
        <v>395</v>
      </c>
      <c r="B45" s="376">
        <f>1/0.035082</f>
        <v>28.504646257339946</v>
      </c>
      <c r="C45" s="386">
        <v>0</v>
      </c>
      <c r="D45" s="377">
        <v>0</v>
      </c>
      <c r="E45" s="377">
        <v>0</v>
      </c>
      <c r="F45" s="378">
        <f t="shared" ref="F45" si="39">Lifetime_mileage/B45</f>
        <v>5262.3</v>
      </c>
      <c r="G45" s="379">
        <f t="shared" si="33"/>
        <v>46.227200580000002</v>
      </c>
      <c r="H45" s="380">
        <f>0.0102 * Lifetime_mileage / 1000000</f>
        <v>1.5299999999999999E-3</v>
      </c>
      <c r="I45" s="380">
        <f t="shared" si="34"/>
        <v>1.8E-3</v>
      </c>
      <c r="J45" s="381">
        <f t="shared" ref="J45" si="40">G45+H45*CH4_to_CO2eq + I45*N2O_to_CO2eq</f>
        <v>46.823450579999999</v>
      </c>
      <c r="K45" s="380">
        <f>3.492 * Lifetime_mileage / 1000000</f>
        <v>0.52380000000000004</v>
      </c>
      <c r="L45" s="380"/>
      <c r="M45" s="380">
        <f t="shared" si="36"/>
        <v>1.035E-2</v>
      </c>
      <c r="N45" s="380">
        <f t="shared" si="37"/>
        <v>4.2900000000000004E-3</v>
      </c>
      <c r="O45" s="380">
        <f t="shared" si="38"/>
        <v>2.2200000000000002E-3</v>
      </c>
      <c r="P45" s="380"/>
      <c r="Q45" s="382">
        <f>(0.095+0.057) * Lifetime_mileage / 1000000</f>
        <v>2.2800000000000001E-2</v>
      </c>
      <c r="R45" s="383"/>
    </row>
    <row r="46" spans="1:18" s="84" customFormat="1">
      <c r="A46" s="63" t="str">
        <f>SUMMARY!$B$16</f>
        <v>GREET1.8d (2010)</v>
      </c>
      <c r="B46" s="74">
        <f t="array" ref="B46">SUM(IF($A46=$A29:$A45,B29:B45))</f>
        <v>24.80900446601942</v>
      </c>
      <c r="C46" s="74">
        <f t="array" ref="C46">SUM(IF($A46=$A29:$A45,C29:C45))</f>
        <v>0</v>
      </c>
      <c r="D46" s="75">
        <f t="array" ref="D46">SUM(IF($A46=$A29:$A45,D29:D45))</f>
        <v>0</v>
      </c>
      <c r="E46" s="75">
        <f t="array" ref="E46">SUM(IF($A46=$A29:$A45,E29:E45))</f>
        <v>0</v>
      </c>
      <c r="F46" s="124">
        <f t="array" ref="F46">SUM(IF($A46=$A29:$A45,F29:F45))</f>
        <v>6046.1918254500342</v>
      </c>
      <c r="G46" s="76">
        <f t="array" ref="G46">SUM(IF($A46=$A29:$A45,G29:G45))</f>
        <v>53.113376709848374</v>
      </c>
      <c r="H46" s="77">
        <f t="array" ref="H46">SUM(IF($A46=$A29:$A45,H29:H45))</f>
        <v>1.5900000000000001E-3</v>
      </c>
      <c r="I46" s="77">
        <f t="array" ref="I46">SUM(IF($A46=$A29:$A45,I29:I45))</f>
        <v>1.8E-3</v>
      </c>
      <c r="J46" s="118">
        <f t="array" ref="J46">SUM(IF($A46=$A29:$A45,J29:J45))</f>
        <v>53.711126709848372</v>
      </c>
      <c r="K46" s="77">
        <f t="array" ref="K46">SUM(IF($A46=$A29:$A45,K29:K45))</f>
        <v>0.52380000000000004</v>
      </c>
      <c r="L46" s="77">
        <f t="array" ref="L46">SUM(IF($A46=$A29:$A45,L29:L45))</f>
        <v>0</v>
      </c>
      <c r="M46" s="77">
        <f t="array" ref="M46">SUM(IF($A46=$A29:$A45,M29:M45))</f>
        <v>1.035E-2</v>
      </c>
      <c r="N46" s="77">
        <f t="array" ref="N46">SUM(IF($A46=$A29:$A45,N29:N45))</f>
        <v>4.2900000000000004E-3</v>
      </c>
      <c r="O46" s="77">
        <f t="array" ref="O46">SUM(IF($A46=$A29:$A45,O29:O45))</f>
        <v>2.2200000000000002E-3</v>
      </c>
      <c r="P46" s="77">
        <f t="array" ref="P46">SUM(IF($A46=$A29:$A45,P29:P45))</f>
        <v>0</v>
      </c>
      <c r="Q46" s="78">
        <f t="array" ref="Q46">SUM(IF($A46=$A29:$A45,Q29:Q45))</f>
        <v>2.2800000000000001E-2</v>
      </c>
    </row>
    <row r="48" spans="1:18">
      <c r="A48" s="83"/>
      <c r="B48" s="83"/>
      <c r="C48" s="83"/>
      <c r="D48" s="83"/>
      <c r="E48" s="83"/>
      <c r="F48" s="83"/>
      <c r="G48" s="83"/>
      <c r="H48" s="83"/>
      <c r="I48" s="83"/>
      <c r="K48" s="83"/>
      <c r="L48" s="83"/>
      <c r="M48" s="83"/>
      <c r="N48" s="83"/>
      <c r="O48" s="83"/>
      <c r="P48" s="83"/>
    </row>
    <row r="49" spans="1:18" ht="45">
      <c r="A49" s="84" t="s">
        <v>9</v>
      </c>
      <c r="B49" s="67" t="str">
        <f>B27</f>
        <v>Gas Efficiency (CS-mode)</v>
      </c>
      <c r="C49" s="67" t="str">
        <f t="shared" ref="C49:Q49" si="41">C27</f>
        <v>Gas Efficiency (CD-mode)</v>
      </c>
      <c r="D49" s="67" t="str">
        <f t="shared" si="41"/>
        <v>Elec Efficiency (CD-mode)</v>
      </c>
      <c r="E49" s="67" t="str">
        <f t="shared" si="41"/>
        <v>Elec Use</v>
      </c>
      <c r="F49" s="67" t="str">
        <f t="shared" si="41"/>
        <v>Gas Use</v>
      </c>
      <c r="G49" s="67" t="str">
        <f t="shared" si="41"/>
        <v>CO2</v>
      </c>
      <c r="H49" s="67" t="str">
        <f t="shared" si="41"/>
        <v>CH4</v>
      </c>
      <c r="I49" s="67" t="str">
        <f t="shared" si="41"/>
        <v>N2O</v>
      </c>
      <c r="J49" s="67" t="str">
        <f t="shared" si="41"/>
        <v>Net GHGs (CO2eq)</v>
      </c>
      <c r="K49" s="67" t="str">
        <f t="shared" si="41"/>
        <v>CO</v>
      </c>
      <c r="L49" s="67" t="str">
        <f>L27</f>
        <v>NH3</v>
      </c>
      <c r="M49" s="67" t="str">
        <f>M27</f>
        <v>NOx</v>
      </c>
      <c r="N49" s="67" t="str">
        <f t="shared" si="41"/>
        <v>PM10</v>
      </c>
      <c r="O49" s="67" t="str">
        <f t="shared" si="41"/>
        <v>PM2.5</v>
      </c>
      <c r="P49" s="67" t="str">
        <f t="shared" si="41"/>
        <v>SO2</v>
      </c>
      <c r="Q49" s="67" t="str">
        <f t="shared" si="41"/>
        <v>VOC</v>
      </c>
    </row>
    <row r="50" spans="1:18" ht="15.75" thickBot="1">
      <c r="A50" s="72"/>
      <c r="B50" s="72" t="s">
        <v>30</v>
      </c>
      <c r="C50" s="72" t="s">
        <v>30</v>
      </c>
      <c r="D50" s="72" t="s">
        <v>31</v>
      </c>
      <c r="E50" s="72" t="s">
        <v>34</v>
      </c>
      <c r="F50" s="122" t="s">
        <v>33</v>
      </c>
      <c r="G50" s="72" t="s">
        <v>35</v>
      </c>
      <c r="H50" s="72" t="s">
        <v>35</v>
      </c>
      <c r="I50" s="72" t="s">
        <v>35</v>
      </c>
      <c r="J50" s="116" t="s">
        <v>35</v>
      </c>
      <c r="K50" s="72" t="s">
        <v>35</v>
      </c>
      <c r="L50" s="72" t="s">
        <v>35</v>
      </c>
      <c r="M50" s="72" t="s">
        <v>35</v>
      </c>
      <c r="N50" s="72" t="s">
        <v>35</v>
      </c>
      <c r="O50" s="72" t="s">
        <v>35</v>
      </c>
      <c r="P50" s="72" t="s">
        <v>35</v>
      </c>
      <c r="Q50" s="72" t="s">
        <v>35</v>
      </c>
      <c r="R50" s="162" t="s">
        <v>101</v>
      </c>
    </row>
    <row r="51" spans="1:18" ht="15.75" thickTop="1">
      <c r="A51" s="179" t="str">
        <f t="shared" ref="A51:A57" si="42">A29</f>
        <v>PSAT UDDS (ref)</v>
      </c>
      <c r="B51" s="180">
        <v>59.979718665</v>
      </c>
      <c r="C51" s="186">
        <v>0</v>
      </c>
      <c r="D51" s="181">
        <v>0</v>
      </c>
      <c r="E51" s="181">
        <v>0</v>
      </c>
      <c r="F51" s="182">
        <f t="shared" ref="F51:F65" si="43">Lifetime_mileage/B51</f>
        <v>2500.8453413691918</v>
      </c>
      <c r="G51" s="183">
        <f t="shared" ref="G51:G65" si="44">F51*galgas_to_mtCO2</f>
        <v>21.968925985791802</v>
      </c>
      <c r="H51" s="184"/>
      <c r="I51" s="184"/>
      <c r="J51" s="185">
        <f t="shared" ref="J51:J60" si="45">G51+H51*CH4_to_CO2eq + I51*N2O_to_CO2eq</f>
        <v>21.968925985791802</v>
      </c>
      <c r="K51" s="184"/>
      <c r="L51" s="184"/>
      <c r="M51" s="184"/>
      <c r="N51" s="184"/>
      <c r="O51" s="184"/>
      <c r="P51" s="184"/>
      <c r="Q51" s="184"/>
      <c r="R51" s="82" t="s">
        <v>102</v>
      </c>
    </row>
    <row r="52" spans="1:18">
      <c r="A52" s="179" t="str">
        <f t="shared" si="42"/>
        <v>PSAT Combined (ref)</v>
      </c>
      <c r="B52" s="180">
        <v>59.744504081999999</v>
      </c>
      <c r="C52" s="186">
        <v>0</v>
      </c>
      <c r="D52" s="181">
        <v>0</v>
      </c>
      <c r="E52" s="181">
        <v>0</v>
      </c>
      <c r="F52" s="182">
        <f t="shared" si="43"/>
        <v>2510.6911891698578</v>
      </c>
      <c r="G52" s="183">
        <f t="shared" si="44"/>
        <v>22.055417820381532</v>
      </c>
      <c r="H52" s="184"/>
      <c r="I52" s="184"/>
      <c r="J52" s="185">
        <f t="shared" si="45"/>
        <v>22.055417820381532</v>
      </c>
      <c r="K52" s="184"/>
      <c r="L52" s="184"/>
      <c r="M52" s="184"/>
      <c r="N52" s="184"/>
      <c r="O52" s="184"/>
      <c r="P52" s="184"/>
      <c r="Q52" s="184"/>
      <c r="R52" s="82" t="s">
        <v>102</v>
      </c>
    </row>
    <row r="53" spans="1:18">
      <c r="A53" s="179" t="str">
        <f t="shared" si="42"/>
        <v>PSAT Adjusted (ref)</v>
      </c>
      <c r="B53" s="180">
        <v>49.159847846999995</v>
      </c>
      <c r="C53" s="186">
        <v>0</v>
      </c>
      <c r="D53" s="181">
        <v>0</v>
      </c>
      <c r="E53" s="181">
        <v>0</v>
      </c>
      <c r="F53" s="182">
        <f t="shared" si="43"/>
        <v>3051.2706318140858</v>
      </c>
      <c r="G53" s="183">
        <f t="shared" si="44"/>
        <v>26.804191992234017</v>
      </c>
      <c r="H53" s="184"/>
      <c r="I53" s="184"/>
      <c r="J53" s="185">
        <f t="shared" si="45"/>
        <v>26.804191992234017</v>
      </c>
      <c r="K53" s="184"/>
      <c r="L53" s="184"/>
      <c r="M53" s="184"/>
      <c r="N53" s="184"/>
      <c r="O53" s="184"/>
      <c r="P53" s="184"/>
      <c r="Q53" s="184"/>
      <c r="R53" s="82" t="s">
        <v>102</v>
      </c>
    </row>
    <row r="54" spans="1:18">
      <c r="A54" s="179" t="str">
        <f t="shared" si="42"/>
        <v>Kromer/Heywood (ref)</v>
      </c>
      <c r="B54" s="180">
        <v>76.444739475000006</v>
      </c>
      <c r="C54" s="186">
        <v>0</v>
      </c>
      <c r="D54" s="181">
        <v>0</v>
      </c>
      <c r="E54" s="181">
        <v>0</v>
      </c>
      <c r="F54" s="182">
        <f t="shared" si="43"/>
        <v>1962.2017293819811</v>
      </c>
      <c r="G54" s="183">
        <f t="shared" si="44"/>
        <v>17.23715731192895</v>
      </c>
      <c r="H54" s="184"/>
      <c r="I54" s="184"/>
      <c r="J54" s="185">
        <f t="shared" si="45"/>
        <v>17.23715731192895</v>
      </c>
      <c r="K54" s="184"/>
      <c r="L54" s="184"/>
      <c r="M54" s="184"/>
      <c r="N54" s="184"/>
      <c r="O54" s="184"/>
      <c r="P54" s="184"/>
      <c r="Q54" s="184"/>
      <c r="R54" s="82" t="s">
        <v>103</v>
      </c>
    </row>
    <row r="55" spans="1:18">
      <c r="A55" s="179" t="str">
        <f t="shared" si="42"/>
        <v>Jaramillo et al (ref)</v>
      </c>
      <c r="B55" s="180">
        <v>44.925985353000002</v>
      </c>
      <c r="C55" s="186">
        <v>0</v>
      </c>
      <c r="D55" s="181">
        <v>0</v>
      </c>
      <c r="E55" s="181">
        <v>0</v>
      </c>
      <c r="F55" s="182">
        <f t="shared" si="43"/>
        <v>3338.8249321944704</v>
      </c>
      <c r="G55" s="183">
        <f t="shared" si="44"/>
        <v>29.330241499355544</v>
      </c>
      <c r="H55" s="184"/>
      <c r="I55" s="184"/>
      <c r="J55" s="185">
        <f t="shared" si="45"/>
        <v>29.330241499355544</v>
      </c>
      <c r="K55" s="184"/>
      <c r="L55" s="184"/>
      <c r="M55" s="184"/>
      <c r="N55" s="184"/>
      <c r="O55" s="184"/>
      <c r="P55" s="184"/>
      <c r="Q55" s="184"/>
      <c r="R55" s="82" t="s">
        <v>104</v>
      </c>
    </row>
    <row r="56" spans="1:18">
      <c r="A56" s="179" t="str">
        <f t="shared" si="42"/>
        <v>ANL / Combined (ref)</v>
      </c>
      <c r="B56" s="180">
        <v>50.571135345000002</v>
      </c>
      <c r="C56" s="186">
        <v>0</v>
      </c>
      <c r="D56" s="181">
        <v>0</v>
      </c>
      <c r="E56" s="181">
        <v>0</v>
      </c>
      <c r="F56" s="182">
        <f t="shared" si="43"/>
        <v>2966.1188932518317</v>
      </c>
      <c r="G56" s="183">
        <f t="shared" si="44"/>
        <v>26.056168029660039</v>
      </c>
      <c r="H56" s="184"/>
      <c r="I56" s="184"/>
      <c r="J56" s="185">
        <f t="shared" si="45"/>
        <v>26.056168029660039</v>
      </c>
      <c r="K56" s="184"/>
      <c r="L56" s="184"/>
      <c r="M56" s="184"/>
      <c r="N56" s="184"/>
      <c r="O56" s="184"/>
      <c r="P56" s="184"/>
      <c r="Q56" s="184"/>
      <c r="R56" s="82" t="s">
        <v>90</v>
      </c>
    </row>
    <row r="57" spans="1:18">
      <c r="A57" s="179" t="str">
        <f t="shared" si="42"/>
        <v>NRC (ref)</v>
      </c>
      <c r="B57" s="180">
        <v>32.224397871000001</v>
      </c>
      <c r="C57" s="186">
        <v>0</v>
      </c>
      <c r="D57" s="181">
        <v>0</v>
      </c>
      <c r="E57" s="181">
        <v>0</v>
      </c>
      <c r="F57" s="182">
        <f t="shared" si="43"/>
        <v>4654.858117147035</v>
      </c>
      <c r="G57" s="183">
        <f t="shared" si="44"/>
        <v>40.891066615889841</v>
      </c>
      <c r="H57" s="184"/>
      <c r="I57" s="184"/>
      <c r="J57" s="185">
        <f t="shared" si="45"/>
        <v>40.891066615889841</v>
      </c>
      <c r="K57" s="184"/>
      <c r="L57" s="184"/>
      <c r="M57" s="184"/>
      <c r="N57" s="184"/>
      <c r="O57" s="184"/>
      <c r="P57" s="184"/>
      <c r="Q57" s="184"/>
      <c r="R57" s="82" t="s">
        <v>216</v>
      </c>
    </row>
    <row r="58" spans="1:18" s="85" customFormat="1">
      <c r="A58" s="73" t="str">
        <f t="shared" ref="A58:A59" si="46">A39</f>
        <v>NRDC-EPRI</v>
      </c>
      <c r="B58" s="64">
        <v>37.1</v>
      </c>
      <c r="C58" s="385">
        <v>0</v>
      </c>
      <c r="D58" s="68">
        <v>0</v>
      </c>
      <c r="E58" s="68">
        <v>0</v>
      </c>
      <c r="F58" s="123">
        <f t="shared" si="43"/>
        <v>4043.1266846361186</v>
      </c>
      <c r="G58" s="69">
        <f t="shared" si="44"/>
        <v>35.517250673854448</v>
      </c>
      <c r="H58" s="70"/>
      <c r="I58" s="70"/>
      <c r="J58" s="117">
        <f t="shared" si="45"/>
        <v>35.517250673854448</v>
      </c>
      <c r="K58" s="119">
        <f>6.654 * Lifetime_mileage / 1000000</f>
        <v>0.99809999999999999</v>
      </c>
      <c r="L58" s="119"/>
      <c r="M58" s="119">
        <f>0.162 * Lifetime_mileage / 1000000</f>
        <v>2.4299999999999999E-2</v>
      </c>
      <c r="N58" s="119">
        <f>0.024 * Lifetime_mileage / 1000000</f>
        <v>3.5999999999999999E-3</v>
      </c>
      <c r="O58" s="119">
        <f>0.01 * Lifetime_mileage / 1000000</f>
        <v>1.5E-3</v>
      </c>
      <c r="P58" s="119">
        <f>0.005 * Lifetime_mileage / 1000000</f>
        <v>7.5000000000000002E-4</v>
      </c>
      <c r="Q58" s="119">
        <f>0.262 * Lifetime_mileage / 1000000</f>
        <v>3.9300000000000002E-2</v>
      </c>
      <c r="R58" s="82" t="s">
        <v>88</v>
      </c>
    </row>
    <row r="59" spans="1:18">
      <c r="A59" s="73" t="str">
        <f t="shared" si="46"/>
        <v>GREET1.7 (2010)</v>
      </c>
      <c r="B59" s="64">
        <f>B40*148%</f>
        <v>34.78</v>
      </c>
      <c r="C59" s="385">
        <v>0</v>
      </c>
      <c r="D59" s="68">
        <v>0</v>
      </c>
      <c r="E59" s="68">
        <v>0</v>
      </c>
      <c r="F59" s="123">
        <f t="shared" si="43"/>
        <v>4312.8234617596318</v>
      </c>
      <c r="G59" s="69">
        <f t="shared" si="44"/>
        <v>37.886428982173662</v>
      </c>
      <c r="H59" s="70">
        <f>H40*47%</f>
        <v>7.473E-4</v>
      </c>
      <c r="I59" s="70">
        <f>I40</f>
        <v>1.8E-3</v>
      </c>
      <c r="J59" s="117">
        <f t="shared" si="45"/>
        <v>38.463111482173659</v>
      </c>
      <c r="K59" s="70">
        <f>K40</f>
        <v>0.52380000000000004</v>
      </c>
      <c r="L59" s="70"/>
      <c r="M59" s="70">
        <f>M40*84%</f>
        <v>8.6940000000000003E-3</v>
      </c>
      <c r="N59" s="70">
        <f>N40</f>
        <v>4.2900000000000004E-3</v>
      </c>
      <c r="O59" s="70">
        <f>O40</f>
        <v>2.2200000000000002E-3</v>
      </c>
      <c r="P59" s="70"/>
      <c r="Q59" s="66">
        <f>(0.095*54%+0.057) * Lifetime_mileage / 1000000</f>
        <v>1.6245000000000002E-2</v>
      </c>
      <c r="R59" s="82" t="s">
        <v>93</v>
      </c>
    </row>
    <row r="60" spans="1:18">
      <c r="A60" s="73" t="s">
        <v>98</v>
      </c>
      <c r="B60" s="64">
        <f>B41*152%</f>
        <v>36.327999999999996</v>
      </c>
      <c r="C60" s="385">
        <v>0</v>
      </c>
      <c r="D60" s="68">
        <v>0</v>
      </c>
      <c r="E60" s="68">
        <v>0</v>
      </c>
      <c r="F60" s="123">
        <f t="shared" si="43"/>
        <v>4129.0464655362257</v>
      </c>
      <c r="G60" s="69">
        <f t="shared" si="44"/>
        <v>36.272021581149531</v>
      </c>
      <c r="H60" s="70">
        <f>H41*47%</f>
        <v>7.1909999999999986E-4</v>
      </c>
      <c r="I60" s="70">
        <f>I41</f>
        <v>1.8E-3</v>
      </c>
      <c r="J60" s="117">
        <f t="shared" si="45"/>
        <v>36.847999081149531</v>
      </c>
      <c r="K60" s="70">
        <f>K41</f>
        <v>0.51900000000000002</v>
      </c>
      <c r="L60" s="70"/>
      <c r="M60" s="70">
        <f>M41*84%</f>
        <v>8.6940000000000003E-3</v>
      </c>
      <c r="N60" s="70">
        <f>N41</f>
        <v>4.2900000000000004E-3</v>
      </c>
      <c r="O60" s="70">
        <f>O41</f>
        <v>2.2200000000000002E-3</v>
      </c>
      <c r="P60" s="70"/>
      <c r="Q60" s="66">
        <f>(0.093*54%+0.057) * Lifetime_mileage / 1000000</f>
        <v>1.6083000000000004E-2</v>
      </c>
      <c r="R60" s="82" t="s">
        <v>93</v>
      </c>
    </row>
    <row r="61" spans="1:18">
      <c r="A61" s="563" t="s">
        <v>389</v>
      </c>
      <c r="B61" s="564">
        <f>B42*140%</f>
        <v>34.732606252427189</v>
      </c>
      <c r="C61" s="565">
        <v>0</v>
      </c>
      <c r="D61" s="565">
        <v>0</v>
      </c>
      <c r="E61" s="565">
        <v>0</v>
      </c>
      <c r="F61" s="566">
        <f t="shared" ref="F61:F63" si="47">Lifetime_mileage/B61</f>
        <v>4318.7084467500245</v>
      </c>
      <c r="G61" s="567">
        <f t="shared" ref="G61:G64" si="48">F61*galgas_to_mtCO2</f>
        <v>37.938126221320267</v>
      </c>
      <c r="H61" s="568">
        <f t="shared" ref="H61:H63" si="49">H42*47%</f>
        <v>7.473E-4</v>
      </c>
      <c r="I61" s="568">
        <f t="shared" ref="I61:I63" si="50">I42</f>
        <v>1.8E-3</v>
      </c>
      <c r="J61" s="569">
        <f t="shared" ref="J61:J64" si="51">G61+H61*CH4_to_CO2eq + I61*N2O_to_CO2eq</f>
        <v>38.514808721320264</v>
      </c>
      <c r="K61" s="568">
        <f t="shared" ref="K61:K63" si="52">K42</f>
        <v>0.52380000000000004</v>
      </c>
      <c r="L61" s="568"/>
      <c r="M61" s="568">
        <f t="shared" ref="M61:M63" si="53">M42*84%</f>
        <v>8.6940000000000003E-3</v>
      </c>
      <c r="N61" s="568">
        <f t="shared" ref="N61:O63" si="54">N42</f>
        <v>4.2900000000000004E-3</v>
      </c>
      <c r="O61" s="568">
        <f t="shared" si="54"/>
        <v>2.2200000000000002E-3</v>
      </c>
      <c r="P61" s="568"/>
      <c r="Q61" s="568">
        <f>(0.093*54%+0.057) * Lifetime_mileage / 1000000</f>
        <v>1.6083000000000004E-2</v>
      </c>
      <c r="R61" s="383" t="s">
        <v>390</v>
      </c>
    </row>
    <row r="62" spans="1:18">
      <c r="A62" s="375" t="s">
        <v>391</v>
      </c>
      <c r="B62" s="376">
        <f>B43*140%</f>
        <v>38.085304708737866</v>
      </c>
      <c r="C62" s="386">
        <v>0</v>
      </c>
      <c r="D62" s="377">
        <v>0</v>
      </c>
      <c r="E62" s="377">
        <v>0</v>
      </c>
      <c r="F62" s="378">
        <f t="shared" si="47"/>
        <v>3938.5269764058285</v>
      </c>
      <c r="G62" s="379">
        <f t="shared" si="48"/>
        <v>34.598384076934643</v>
      </c>
      <c r="H62" s="380">
        <f t="shared" si="49"/>
        <v>7.3319999999999993E-4</v>
      </c>
      <c r="I62" s="380">
        <f t="shared" si="50"/>
        <v>1.8E-3</v>
      </c>
      <c r="J62" s="381">
        <f t="shared" si="51"/>
        <v>35.174714076934642</v>
      </c>
      <c r="K62" s="380">
        <f t="shared" si="52"/>
        <v>0.5223000000000001</v>
      </c>
      <c r="L62" s="380"/>
      <c r="M62" s="380">
        <f t="shared" si="53"/>
        <v>8.6940000000000003E-3</v>
      </c>
      <c r="N62" s="380">
        <f t="shared" si="54"/>
        <v>4.2900000000000004E-3</v>
      </c>
      <c r="O62" s="380">
        <f t="shared" si="54"/>
        <v>2.2200000000000002E-3</v>
      </c>
      <c r="P62" s="380"/>
      <c r="Q62" s="382">
        <f>(0.093*54%+0.057) * Lifetime_mileage / 1000000</f>
        <v>1.6083000000000004E-2</v>
      </c>
      <c r="R62" s="383" t="s">
        <v>392</v>
      </c>
    </row>
    <row r="63" spans="1:18">
      <c r="A63" s="375" t="s">
        <v>393</v>
      </c>
      <c r="B63" s="376">
        <f>B44*140%</f>
        <v>41.227134757281554</v>
      </c>
      <c r="C63" s="386">
        <v>0</v>
      </c>
      <c r="D63" s="377">
        <v>0</v>
      </c>
      <c r="E63" s="377">
        <v>0</v>
      </c>
      <c r="F63" s="378">
        <f t="shared" si="47"/>
        <v>3638.3804230660712</v>
      </c>
      <c r="G63" s="379">
        <f t="shared" si="48"/>
        <v>31.961716664466209</v>
      </c>
      <c r="H63" s="380">
        <f t="shared" si="49"/>
        <v>7.1909999999999986E-4</v>
      </c>
      <c r="I63" s="380">
        <f t="shared" si="50"/>
        <v>1.8E-3</v>
      </c>
      <c r="J63" s="381">
        <f t="shared" si="51"/>
        <v>32.53769416446621</v>
      </c>
      <c r="K63" s="380">
        <f t="shared" si="52"/>
        <v>0.51900000000000002</v>
      </c>
      <c r="L63" s="380"/>
      <c r="M63" s="380">
        <f t="shared" si="53"/>
        <v>8.6940000000000003E-3</v>
      </c>
      <c r="N63" s="380">
        <f t="shared" si="54"/>
        <v>4.2900000000000004E-3</v>
      </c>
      <c r="O63" s="380">
        <f t="shared" si="54"/>
        <v>2.2200000000000002E-3</v>
      </c>
      <c r="P63" s="380"/>
      <c r="Q63" s="382">
        <f>(0.093*54%+0.057) * Lifetime_mileage / 1000000</f>
        <v>1.6083000000000004E-2</v>
      </c>
      <c r="R63" s="383" t="s">
        <v>394</v>
      </c>
    </row>
    <row r="64" spans="1:18">
      <c r="A64" s="375" t="s">
        <v>395</v>
      </c>
      <c r="B64" s="376">
        <v>45.1</v>
      </c>
      <c r="C64" s="386">
        <v>0</v>
      </c>
      <c r="D64" s="377">
        <v>0</v>
      </c>
      <c r="E64" s="377">
        <v>0</v>
      </c>
      <c r="F64" s="378">
        <f t="shared" ref="F64" si="55">Lifetime_mileage/B64</f>
        <v>3325.9423503325943</v>
      </c>
      <c r="G64" s="379">
        <f t="shared" si="48"/>
        <v>29.217073170731709</v>
      </c>
      <c r="H64" s="380">
        <f>H40*47%</f>
        <v>7.473E-4</v>
      </c>
      <c r="I64" s="380">
        <f>I40</f>
        <v>1.8E-3</v>
      </c>
      <c r="J64" s="381">
        <f t="shared" si="51"/>
        <v>29.793755670731709</v>
      </c>
      <c r="K64" s="380">
        <f>K40</f>
        <v>0.52380000000000004</v>
      </c>
      <c r="L64" s="380"/>
      <c r="M64" s="380">
        <f>M40*84%</f>
        <v>8.6940000000000003E-3</v>
      </c>
      <c r="N64" s="380">
        <f>N40</f>
        <v>4.2900000000000004E-3</v>
      </c>
      <c r="O64" s="380">
        <f>O40</f>
        <v>2.2200000000000002E-3</v>
      </c>
      <c r="P64" s="380"/>
      <c r="Q64" s="382">
        <f>(0.095*54%+0.057) * Lifetime_mileage / 1000000</f>
        <v>1.6245000000000002E-2</v>
      </c>
      <c r="R64" s="383"/>
    </row>
    <row r="65" spans="1:18">
      <c r="A65" s="73" t="s">
        <v>99</v>
      </c>
      <c r="B65" s="64">
        <v>36</v>
      </c>
      <c r="C65" s="385">
        <v>0</v>
      </c>
      <c r="D65" s="68">
        <v>0</v>
      </c>
      <c r="E65" s="68">
        <v>0</v>
      </c>
      <c r="F65" s="123">
        <f t="shared" si="43"/>
        <v>4166.666666666667</v>
      </c>
      <c r="G65" s="69">
        <f t="shared" si="44"/>
        <v>36.602500000000006</v>
      </c>
      <c r="H65" s="70"/>
      <c r="I65" s="70"/>
      <c r="J65" s="117"/>
      <c r="K65" s="70"/>
      <c r="L65" s="70"/>
      <c r="M65" s="70">
        <f>2.2*SUMMARY!$B$32*0.454/1000</f>
        <v>1.1985600000000001E-2</v>
      </c>
      <c r="N65" s="70"/>
      <c r="O65" s="70"/>
      <c r="P65" s="70">
        <f>0.1*SUMMARY!$B$32*SUMMARY!B42/1000</f>
        <v>1.321097142857143E-3</v>
      </c>
      <c r="Q65" s="66"/>
      <c r="R65" s="82" t="s">
        <v>105</v>
      </c>
    </row>
    <row r="66" spans="1:18" s="84" customFormat="1">
      <c r="A66" s="63" t="str">
        <f t="shared" ref="A66" si="56">A46</f>
        <v>GREET1.8d (2010)</v>
      </c>
      <c r="B66" s="74">
        <f t="array" ref="B66">SUM(IF($A66=$A51:$A65,B51:B65))</f>
        <v>34.732606252427189</v>
      </c>
      <c r="C66" s="74">
        <f t="array" ref="C66">SUM(IF($A66=$A51:$A65,C51:C65))</f>
        <v>0</v>
      </c>
      <c r="D66" s="75">
        <f t="array" ref="D66">SUM(IF($A66=$A51:$A65,D51:D65))</f>
        <v>0</v>
      </c>
      <c r="E66" s="75">
        <f t="array" ref="E66">SUM(IF($A66=$A51:$A65,E51:E65))</f>
        <v>0</v>
      </c>
      <c r="F66" s="124">
        <f t="array" ref="F66">SUM(IF($A66=$A51:$A65,F51:F65))</f>
        <v>4318.7084467500245</v>
      </c>
      <c r="G66" s="76">
        <f t="array" ref="G66">SUM(IF($A66=$A51:$A65,G51:G65))</f>
        <v>37.938126221320267</v>
      </c>
      <c r="H66" s="77">
        <f t="array" ref="H66">SUM(IF($A66=$A51:$A65,H51:H65))</f>
        <v>7.473E-4</v>
      </c>
      <c r="I66" s="77">
        <f t="array" ref="I66">SUM(IF($A66=$A51:$A65,I51:I65))</f>
        <v>1.8E-3</v>
      </c>
      <c r="J66" s="118">
        <f t="array" ref="J66">SUM(IF($A66=$A51:$A65,J51:J65))</f>
        <v>38.514808721320264</v>
      </c>
      <c r="K66" s="77">
        <f t="array" ref="K66">SUM(IF($A66=$A51:$A65,K51:K65))</f>
        <v>0.52380000000000004</v>
      </c>
      <c r="L66" s="77">
        <f t="array" ref="L66">SUM(IF($A66=$A51:$A65,L51:L65))</f>
        <v>0</v>
      </c>
      <c r="M66" s="77">
        <f t="array" ref="M66">SUM(IF($A66=$A51:$A65,M51:M65))</f>
        <v>8.6940000000000003E-3</v>
      </c>
      <c r="N66" s="77">
        <f t="array" ref="N66">SUM(IF($A66=$A51:$A65,N51:N65))</f>
        <v>4.2900000000000004E-3</v>
      </c>
      <c r="O66" s="77">
        <f t="array" ref="O66">SUM(IF($A66=$A51:$A65,O51:O65))</f>
        <v>2.2200000000000002E-3</v>
      </c>
      <c r="P66" s="77">
        <f t="array" ref="P66">SUM(IF($A66=$A51:$A65,P51:P65))</f>
        <v>0</v>
      </c>
      <c r="Q66" s="78">
        <f t="array" ref="Q66">SUM(IF($A66=$A51:$A65,Q51:Q65))</f>
        <v>1.6083000000000004E-2</v>
      </c>
    </row>
    <row r="68" spans="1:18" s="85" customFormat="1">
      <c r="A68" s="83"/>
      <c r="B68" s="83"/>
      <c r="C68" s="83"/>
      <c r="D68" s="83"/>
      <c r="E68" s="83"/>
      <c r="F68" s="83"/>
      <c r="G68" s="83"/>
      <c r="H68" s="83"/>
      <c r="I68" s="83"/>
      <c r="J68" s="114"/>
      <c r="K68" s="83"/>
      <c r="L68" s="83"/>
      <c r="M68" s="83"/>
      <c r="N68" s="83"/>
      <c r="O68" s="83"/>
      <c r="P68" s="83"/>
    </row>
    <row r="69" spans="1:18" ht="45">
      <c r="A69" s="84" t="s">
        <v>10</v>
      </c>
      <c r="B69" s="67" t="str">
        <f>B49</f>
        <v>Gas Efficiency (CS-mode)</v>
      </c>
      <c r="C69" s="67" t="str">
        <f t="shared" ref="C69:Q69" si="57">C49</f>
        <v>Gas Efficiency (CD-mode)</v>
      </c>
      <c r="D69" s="67" t="str">
        <f t="shared" si="57"/>
        <v>Elec Efficiency (CD-mode)</v>
      </c>
      <c r="E69" s="67" t="str">
        <f t="shared" si="57"/>
        <v>Elec Use</v>
      </c>
      <c r="F69" s="67" t="str">
        <f t="shared" si="57"/>
        <v>Gas Use</v>
      </c>
      <c r="G69" s="67" t="str">
        <f t="shared" si="57"/>
        <v>CO2</v>
      </c>
      <c r="H69" s="67" t="str">
        <f t="shared" si="57"/>
        <v>CH4</v>
      </c>
      <c r="I69" s="67" t="str">
        <f t="shared" si="57"/>
        <v>N2O</v>
      </c>
      <c r="J69" s="67" t="str">
        <f t="shared" si="57"/>
        <v>Net GHGs (CO2eq)</v>
      </c>
      <c r="K69" s="67" t="str">
        <f t="shared" si="57"/>
        <v>CO</v>
      </c>
      <c r="L69" s="67" t="str">
        <f>L49</f>
        <v>NH3</v>
      </c>
      <c r="M69" s="67" t="str">
        <f>M49</f>
        <v>NOx</v>
      </c>
      <c r="N69" s="67" t="str">
        <f t="shared" si="57"/>
        <v>PM10</v>
      </c>
      <c r="O69" s="67" t="str">
        <f t="shared" si="57"/>
        <v>PM2.5</v>
      </c>
      <c r="P69" s="67" t="str">
        <f t="shared" si="57"/>
        <v>SO2</v>
      </c>
      <c r="Q69" s="67" t="str">
        <f t="shared" si="57"/>
        <v>VOC</v>
      </c>
    </row>
    <row r="70" spans="1:18" ht="15.75" thickBot="1">
      <c r="A70" s="72"/>
      <c r="B70" s="72" t="str">
        <f>B50</f>
        <v>mi/gal</v>
      </c>
      <c r="C70" s="72" t="str">
        <f t="shared" ref="C70:Q70" si="58">C50</f>
        <v>mi/gal</v>
      </c>
      <c r="D70" s="72" t="str">
        <f t="shared" si="58"/>
        <v>mi/kWh</v>
      </c>
      <c r="E70" s="72" t="str">
        <f t="shared" si="58"/>
        <v>kWh</v>
      </c>
      <c r="F70" s="72" t="str">
        <f t="shared" si="58"/>
        <v>gal</v>
      </c>
      <c r="G70" s="72" t="str">
        <f t="shared" si="58"/>
        <v>mt</v>
      </c>
      <c r="H70" s="72" t="str">
        <f t="shared" si="58"/>
        <v>mt</v>
      </c>
      <c r="I70" s="72" t="str">
        <f t="shared" si="58"/>
        <v>mt</v>
      </c>
      <c r="J70" s="72" t="str">
        <f t="shared" si="58"/>
        <v>mt</v>
      </c>
      <c r="K70" s="72" t="str">
        <f t="shared" si="58"/>
        <v>mt</v>
      </c>
      <c r="L70" s="72" t="str">
        <f>L50</f>
        <v>mt</v>
      </c>
      <c r="M70" s="72" t="str">
        <f>M50</f>
        <v>mt</v>
      </c>
      <c r="N70" s="72" t="str">
        <f t="shared" si="58"/>
        <v>mt</v>
      </c>
      <c r="O70" s="72" t="str">
        <f t="shared" si="58"/>
        <v>mt</v>
      </c>
      <c r="P70" s="72" t="str">
        <f t="shared" si="58"/>
        <v>mt</v>
      </c>
      <c r="Q70" s="72" t="str">
        <f t="shared" si="58"/>
        <v>mt</v>
      </c>
      <c r="R70" s="162" t="s">
        <v>101</v>
      </c>
    </row>
    <row r="71" spans="1:18" ht="15.75" thickTop="1">
      <c r="A71" s="179" t="str">
        <f t="shared" ref="A71:A77" si="59">A29</f>
        <v>PSAT UDDS (ref)</v>
      </c>
      <c r="B71" s="180">
        <v>63.037508244000001</v>
      </c>
      <c r="C71" s="186">
        <v>0</v>
      </c>
      <c r="D71" s="180">
        <v>5.2195180128000001</v>
      </c>
      <c r="E71" s="181">
        <f>Lifetime_mileage/D71*AER!$F$27 / SUMMARY!$B$50</f>
        <v>8670.471431883132</v>
      </c>
      <c r="F71" s="182">
        <f>Lifetime_mileage/B71 * (1-AER!$F$27)</f>
        <v>1747.7689564369257</v>
      </c>
      <c r="G71" s="183">
        <f t="shared" ref="G71:G77" si="60">F71*galgas_to_mtCO2</f>
        <v>15.353451174715817</v>
      </c>
      <c r="H71" s="184"/>
      <c r="I71" s="184"/>
      <c r="J71" s="185">
        <f t="shared" ref="J71:J80" si="61">G71+H71*CH4_to_CO2eq + I71*N2O_to_CO2eq</f>
        <v>15.353451174715817</v>
      </c>
      <c r="K71" s="184"/>
      <c r="L71" s="184"/>
      <c r="M71" s="184"/>
      <c r="N71" s="184"/>
      <c r="O71" s="184"/>
      <c r="P71" s="184"/>
      <c r="Q71" s="184"/>
      <c r="R71" s="82" t="s">
        <v>102</v>
      </c>
    </row>
    <row r="72" spans="1:18">
      <c r="A72" s="179" t="str">
        <f t="shared" si="59"/>
        <v>PSAT Combined (ref)</v>
      </c>
      <c r="B72" s="180">
        <v>63.978366575999999</v>
      </c>
      <c r="C72" s="186">
        <v>0</v>
      </c>
      <c r="D72" s="180">
        <v>5.3437922512</v>
      </c>
      <c r="E72" s="181">
        <f>Lifetime_mileage/D72*AER!$F$27 / SUMMARY!$B$50</f>
        <v>8468.8325613742218</v>
      </c>
      <c r="F72" s="182">
        <f>Lifetime_mileage/B72 * (1-AER!$F$27)</f>
        <v>1722.0664717834416</v>
      </c>
      <c r="G72" s="183">
        <f t="shared" si="60"/>
        <v>15.12766512802882</v>
      </c>
      <c r="H72" s="184"/>
      <c r="I72" s="184"/>
      <c r="J72" s="185">
        <f t="shared" si="61"/>
        <v>15.12766512802882</v>
      </c>
      <c r="K72" s="184"/>
      <c r="L72" s="184"/>
      <c r="M72" s="184"/>
      <c r="N72" s="184"/>
      <c r="O72" s="184"/>
      <c r="P72" s="184"/>
      <c r="Q72" s="184"/>
      <c r="R72" s="82" t="s">
        <v>102</v>
      </c>
    </row>
    <row r="73" spans="1:18" s="85" customFormat="1">
      <c r="A73" s="179" t="str">
        <f t="shared" si="59"/>
        <v>PSAT Adjusted (ref)</v>
      </c>
      <c r="B73" s="180">
        <v>46.572487434000003</v>
      </c>
      <c r="C73" s="186">
        <v>0</v>
      </c>
      <c r="D73" s="180">
        <v>5.3437922512</v>
      </c>
      <c r="E73" s="181">
        <f>Lifetime_mileage/D73*AER!$F$27 / SUMMARY!$B$50</f>
        <v>8468.8325613742218</v>
      </c>
      <c r="F73" s="182">
        <f>Lifetime_mileage/B73 * (1-AER!$F$27)</f>
        <v>2365.6670723489701</v>
      </c>
      <c r="G73" s="183">
        <f t="shared" si="60"/>
        <v>20.781438963756763</v>
      </c>
      <c r="H73" s="184"/>
      <c r="I73" s="184"/>
      <c r="J73" s="185">
        <f t="shared" si="61"/>
        <v>20.781438963756763</v>
      </c>
      <c r="K73" s="184"/>
      <c r="L73" s="184"/>
      <c r="M73" s="184"/>
      <c r="N73" s="184"/>
      <c r="O73" s="184"/>
      <c r="P73" s="184"/>
      <c r="Q73" s="184"/>
      <c r="R73" s="82" t="s">
        <v>102</v>
      </c>
    </row>
    <row r="74" spans="1:18">
      <c r="A74" s="179" t="str">
        <f t="shared" si="59"/>
        <v>Kromer/Heywood (ref)</v>
      </c>
      <c r="B74" s="180">
        <v>78.326456138999987</v>
      </c>
      <c r="C74" s="186">
        <v>0</v>
      </c>
      <c r="D74" s="180">
        <v>5.281655132</v>
      </c>
      <c r="E74" s="181">
        <f>Lifetime_mileage/D74*AER!$F$27 / SUMMARY!$B$50</f>
        <v>8568.4658856256829</v>
      </c>
      <c r="F74" s="182">
        <f>Lifetime_mileage/B74 * (1-AER!$F$27)</f>
        <v>1406.6128538291177</v>
      </c>
      <c r="G74" s="183">
        <f t="shared" si="60"/>
        <v>12.356531275747267</v>
      </c>
      <c r="H74" s="184"/>
      <c r="I74" s="184"/>
      <c r="J74" s="185">
        <f t="shared" si="61"/>
        <v>12.356531275747267</v>
      </c>
      <c r="K74" s="184"/>
      <c r="L74" s="184"/>
      <c r="M74" s="184"/>
      <c r="N74" s="184"/>
      <c r="O74" s="184"/>
      <c r="P74" s="184"/>
      <c r="Q74" s="184"/>
      <c r="R74" s="82" t="s">
        <v>103</v>
      </c>
    </row>
    <row r="75" spans="1:18">
      <c r="A75" s="179" t="str">
        <f t="shared" si="59"/>
        <v>Jaramillo et al (ref)</v>
      </c>
      <c r="B75" s="180">
        <v>44.925985353000002</v>
      </c>
      <c r="C75" s="186">
        <v>0</v>
      </c>
      <c r="D75" s="180">
        <v>3.1068559599999999</v>
      </c>
      <c r="E75" s="181">
        <f>Lifetime_mileage/D75*AER!$F$27 / SUMMARY!$B$50</f>
        <v>14566.392005563664</v>
      </c>
      <c r="F75" s="182">
        <f>Lifetime_mileage/B75 * (1-AER!$F$27)</f>
        <v>2452.3669126968384</v>
      </c>
      <c r="G75" s="183">
        <f t="shared" si="60"/>
        <v>21.543062381276648</v>
      </c>
      <c r="H75" s="184"/>
      <c r="I75" s="184"/>
      <c r="J75" s="185">
        <f t="shared" si="61"/>
        <v>21.543062381276648</v>
      </c>
      <c r="K75" s="184"/>
      <c r="L75" s="184"/>
      <c r="M75" s="184"/>
      <c r="N75" s="184"/>
      <c r="O75" s="184"/>
      <c r="P75" s="184"/>
      <c r="Q75" s="184"/>
      <c r="R75" s="82" t="s">
        <v>104</v>
      </c>
    </row>
    <row r="76" spans="1:18">
      <c r="A76" s="179" t="str">
        <f t="shared" si="59"/>
        <v>ANL / Combined (ref)</v>
      </c>
      <c r="B76" s="180">
        <v>49.865491595999998</v>
      </c>
      <c r="C76" s="186">
        <v>0</v>
      </c>
      <c r="D76" s="180">
        <v>5.3437922512</v>
      </c>
      <c r="E76" s="181">
        <f>Lifetime_mileage/D76*AER!$F$27 / SUMMARY!$B$50</f>
        <v>8468.8325613742218</v>
      </c>
      <c r="F76" s="182">
        <f>Lifetime_mileage/B76 * (1-AER!$F$27)</f>
        <v>2209.4437751183782</v>
      </c>
      <c r="G76" s="183">
        <f t="shared" si="60"/>
        <v>19.409079786904904</v>
      </c>
      <c r="H76" s="184"/>
      <c r="I76" s="184"/>
      <c r="J76" s="185">
        <f t="shared" si="61"/>
        <v>19.409079786904904</v>
      </c>
      <c r="K76" s="184"/>
      <c r="L76" s="184"/>
      <c r="M76" s="184"/>
      <c r="N76" s="184"/>
      <c r="O76" s="184"/>
      <c r="P76" s="184"/>
      <c r="Q76" s="184"/>
      <c r="R76" s="82" t="s">
        <v>90</v>
      </c>
    </row>
    <row r="77" spans="1:18">
      <c r="A77" s="179" t="str">
        <f t="shared" si="59"/>
        <v>NRC (ref)</v>
      </c>
      <c r="B77" s="180">
        <v>39.986479109999998</v>
      </c>
      <c r="C77" s="186">
        <v>0</v>
      </c>
      <c r="D77" s="180">
        <v>10.128350429600001</v>
      </c>
      <c r="E77" s="181">
        <f>Lifetime_mileage/D77*AER!$F$27 / SUMMARY!$B$50</f>
        <v>4468.2184066146201</v>
      </c>
      <c r="F77" s="182">
        <f>Lifetime_mileage/B77 * (1-AER!$F$27)</f>
        <v>2755.3063548535065</v>
      </c>
      <c r="G77" s="183">
        <f t="shared" si="60"/>
        <v>24.204264204846112</v>
      </c>
      <c r="H77" s="184"/>
      <c r="I77" s="184"/>
      <c r="J77" s="185">
        <f t="shared" si="61"/>
        <v>24.204264204846112</v>
      </c>
      <c r="K77" s="184"/>
      <c r="L77" s="184"/>
      <c r="M77" s="184"/>
      <c r="N77" s="184"/>
      <c r="O77" s="184"/>
      <c r="P77" s="184"/>
      <c r="Q77" s="184"/>
      <c r="R77" s="82" t="s">
        <v>216</v>
      </c>
    </row>
    <row r="78" spans="1:18" s="85" customFormat="1">
      <c r="A78" s="73" t="str">
        <f t="shared" ref="A78:A80" si="62">A39</f>
        <v>NRDC-EPRI</v>
      </c>
      <c r="B78" s="64">
        <f>B58</f>
        <v>37.1</v>
      </c>
      <c r="C78" s="385">
        <v>0</v>
      </c>
      <c r="D78" s="64">
        <f>1/0.312</f>
        <v>3.2051282051282053</v>
      </c>
      <c r="E78" s="68">
        <f>Lifetime_mileage/D78*AER!$F$27 / SUMMARY!$B$50</f>
        <v>14119.77272727273</v>
      </c>
      <c r="F78" s="123">
        <f>Lifetime_mileage/B78 * (1-AER!$F$27)</f>
        <v>2969.6765498652289</v>
      </c>
      <c r="G78" s="156">
        <f>288 * Lifetime_mileage / 1000000</f>
        <v>43.2</v>
      </c>
      <c r="H78" s="70"/>
      <c r="I78" s="70"/>
      <c r="J78" s="117">
        <f t="shared" si="61"/>
        <v>43.2</v>
      </c>
      <c r="K78" s="119">
        <f>6.654 * Lifetime_mileage / 1000000</f>
        <v>0.99809999999999999</v>
      </c>
      <c r="L78" s="119"/>
      <c r="M78" s="119">
        <f>0.162 * Lifetime_mileage / 1000000</f>
        <v>2.4299999999999999E-2</v>
      </c>
      <c r="N78" s="119">
        <f>0.024 * Lifetime_mileage / 1000000</f>
        <v>3.5999999999999999E-3</v>
      </c>
      <c r="O78" s="119">
        <f>0.01 * Lifetime_mileage / 1000000</f>
        <v>1.5E-3</v>
      </c>
      <c r="P78" s="119">
        <f>0.005 * Lifetime_mileage / 1000000</f>
        <v>7.5000000000000002E-4</v>
      </c>
      <c r="Q78" s="119">
        <f>0.262 * Lifetime_mileage / 1000000</f>
        <v>3.9300000000000002E-2</v>
      </c>
      <c r="R78" s="82" t="s">
        <v>88</v>
      </c>
    </row>
    <row r="79" spans="1:18">
      <c r="A79" s="73" t="str">
        <f t="shared" si="62"/>
        <v>GREET1.7 (2010)</v>
      </c>
      <c r="B79" s="64">
        <f>B59</f>
        <v>34.78</v>
      </c>
      <c r="C79" s="385">
        <v>0</v>
      </c>
      <c r="D79" s="64">
        <f>300%*B40/Units!$B$7</f>
        <v>2.0721133603238866</v>
      </c>
      <c r="E79" s="68">
        <f>Lifetime_mileage/D79*AER!$F$27 / SUMMARY!$B$50</f>
        <v>21840.350380786127</v>
      </c>
      <c r="F79" s="123">
        <f>Lifetime_mileage/B79 * (1-AER!$F$27)</f>
        <v>3167.7688326624493</v>
      </c>
      <c r="G79" s="69">
        <f t="shared" ref="G79:G85" si="63">F79*galgas_to_mtCO2</f>
        <v>27.827582087406551</v>
      </c>
      <c r="H79" s="70">
        <f>H59*(1-AER!F$27)</f>
        <v>5.4889184999999999E-4</v>
      </c>
      <c r="I79" s="70">
        <f>I59*(1-AER!F$27)</f>
        <v>1.3220999999999999E-3</v>
      </c>
      <c r="J79" s="117">
        <f t="shared" si="61"/>
        <v>28.251155383656549</v>
      </c>
      <c r="K79" s="70">
        <f>K59*(1-AER!F$27)</f>
        <v>0.38473109999999999</v>
      </c>
      <c r="L79" s="70"/>
      <c r="M79" s="70">
        <f>M59*(1-AER!F$27)</f>
        <v>6.3857429999999993E-3</v>
      </c>
      <c r="N79" s="70">
        <f>((0.0081+0.0205)*(1-AER!F$27) + (0.0205)*(AER!F$27)) * Lifetime_mileage / 1000000</f>
        <v>3.9674174999999997E-3</v>
      </c>
      <c r="O79" s="70">
        <f>((0.0075+0.0073)*(1-AER!F$27) + (0.0073)*(AER!F$27)) * Lifetime_mileage / 1000000</f>
        <v>1.9213124999999998E-3</v>
      </c>
      <c r="P79" s="70"/>
      <c r="Q79" s="66">
        <f>Q59*(1-AER!F$27)</f>
        <v>1.1931952500000001E-2</v>
      </c>
      <c r="R79" s="82" t="s">
        <v>93</v>
      </c>
    </row>
    <row r="80" spans="1:18">
      <c r="A80" s="73" t="str">
        <f t="shared" si="62"/>
        <v>GREET1.7 (2020)</v>
      </c>
      <c r="B80" s="64">
        <f>B60</f>
        <v>36.327999999999996</v>
      </c>
      <c r="C80" s="385">
        <v>0</v>
      </c>
      <c r="D80" s="64">
        <f>300%*B41/Units!$B$7</f>
        <v>2.1073833749676973</v>
      </c>
      <c r="E80" s="68">
        <f>Lifetime_mileage/D80*AER!$F$27 / SUMMARY!$B$50</f>
        <v>21474.821504120253</v>
      </c>
      <c r="F80" s="123">
        <f>Lifetime_mileage/B80 * (1-AER!$F$27)</f>
        <v>3032.7846289363574</v>
      </c>
      <c r="G80" s="69">
        <f t="shared" si="63"/>
        <v>26.641799851354325</v>
      </c>
      <c r="H80" s="70">
        <f>H60*(1-AER!F$27)</f>
        <v>5.2817894999999981E-4</v>
      </c>
      <c r="I80" s="70">
        <f>I60*(1-AER!F$27)</f>
        <v>1.3220999999999999E-3</v>
      </c>
      <c r="J80" s="117">
        <f t="shared" si="61"/>
        <v>27.064855325104325</v>
      </c>
      <c r="K80" s="70">
        <f>K60*(1-AER!F$27)</f>
        <v>0.38120549999999997</v>
      </c>
      <c r="L80" s="70"/>
      <c r="M80" s="70">
        <f>M60*(1-AER!F$27)</f>
        <v>6.3857429999999993E-3</v>
      </c>
      <c r="N80" s="70">
        <f>((0.0081+0.0205)*(1-AER!F$27) + (0.0205)*(AER!F$27)) * Lifetime_mileage / 1000000</f>
        <v>3.9674174999999997E-3</v>
      </c>
      <c r="O80" s="70">
        <f>((0.0075+0.0073)*(1-AER!F$27) + (0.0073)*(AER!F$27)) * Lifetime_mileage / 1000000</f>
        <v>1.9213124999999998E-3</v>
      </c>
      <c r="P80" s="70"/>
      <c r="Q80" s="66">
        <f>Q60*(1-AER!F$27)</f>
        <v>1.1812963500000001E-2</v>
      </c>
      <c r="R80" s="82" t="s">
        <v>93</v>
      </c>
    </row>
    <row r="81" spans="1:18">
      <c r="A81" s="563" t="s">
        <v>389</v>
      </c>
      <c r="B81" s="570">
        <f>B42*147.62%</f>
        <v>36.623052392737868</v>
      </c>
      <c r="C81" s="570">
        <v>73.898421647247872</v>
      </c>
      <c r="D81" s="570">
        <v>5.2059941340110925</v>
      </c>
      <c r="E81" s="571">
        <f>Lifetime_mileage/D81*AER!I$27 / SUMMARY!$B$50</f>
        <v>9295.4475569607584</v>
      </c>
      <c r="F81" s="572">
        <f>Lifetime_mileage/B81 * (1-AER!I$27) + Lifetime_mileage/C81 * (AER!I$27)</f>
        <v>3509.2527313124397</v>
      </c>
      <c r="G81" s="573">
        <f t="shared" si="63"/>
        <v>30.827381543487256</v>
      </c>
      <c r="H81" s="574">
        <f>H61*(1-AER!I$27)</f>
        <v>5.3514152999999999E-4</v>
      </c>
      <c r="I81" s="574">
        <f>I61*(1-AER!I$27)</f>
        <v>1.2889799999999999E-3</v>
      </c>
      <c r="J81" s="575">
        <f t="shared" ref="J81:J83" si="64">G81+H81*CH4_to_CO2eq + I81*N2O_to_CO2eq</f>
        <v>31.240343881737253</v>
      </c>
      <c r="K81" s="574">
        <f>K61*(1-AER!I$27)</f>
        <v>0.37509318000000003</v>
      </c>
      <c r="L81" s="574"/>
      <c r="M81" s="574">
        <f>M61*(1-AER!I$27)</f>
        <v>6.2257733999999997E-3</v>
      </c>
      <c r="N81" s="574">
        <f>((0.0081+0.0205)*(1-AER!I$27) + (0.0205)*(AER!I$27)) * Lifetime_mileage / 1000000</f>
        <v>3.9450614999999994E-3</v>
      </c>
      <c r="O81" s="574">
        <f>((0.0075+0.0073)*(1-AER!I$27) + (0.0073)*(AER!I$27)) * Lifetime_mileage / 1000000</f>
        <v>1.9006125E-3</v>
      </c>
      <c r="P81" s="574"/>
      <c r="Q81" s="574">
        <f>Q61*(1-AER!I$27)</f>
        <v>1.1517036300000002E-2</v>
      </c>
      <c r="R81" s="383" t="s">
        <v>390</v>
      </c>
    </row>
    <row r="82" spans="1:18">
      <c r="A82" s="375" t="s">
        <v>391</v>
      </c>
      <c r="B82" s="387">
        <f>B43*157.23%</f>
        <v>42.77251756682039</v>
      </c>
      <c r="C82" s="387">
        <v>76.562602935911357</v>
      </c>
      <c r="D82" s="387">
        <v>5.2316631154206474</v>
      </c>
      <c r="E82" s="388">
        <f>Lifetime_mileage/D82*AER!I$27 / SUMMARY!$B$50</f>
        <v>9249.839752087044</v>
      </c>
      <c r="F82" s="389">
        <f>Lifetime_mileage/B82 * (1-AER!I$27) + Lifetime_mileage/C82 * (AER!I$27)</f>
        <v>3067.5203026131448</v>
      </c>
      <c r="G82" s="559">
        <f t="shared" si="63"/>
        <v>26.946938850335432</v>
      </c>
      <c r="H82" s="560">
        <f>H62*(1-AER!I$27)</f>
        <v>5.2504451999999988E-4</v>
      </c>
      <c r="I82" s="560">
        <f>I62*(1-AER!I$27)</f>
        <v>1.2889799999999999E-3</v>
      </c>
      <c r="J82" s="561">
        <f t="shared" si="64"/>
        <v>27.359648763335429</v>
      </c>
      <c r="K82" s="560">
        <f>K62*(1-AER!I$27)</f>
        <v>0.37401903000000003</v>
      </c>
      <c r="L82" s="560"/>
      <c r="M82" s="560">
        <f>M62*(1-AER!I$27)</f>
        <v>6.2257733999999997E-3</v>
      </c>
      <c r="N82" s="560">
        <f>((0.0081+0.0205)*(1-AER!I$27) + (0.0205)*(AER!I$27)) * Lifetime_mileage / 1000000</f>
        <v>3.9450614999999994E-3</v>
      </c>
      <c r="O82" s="560">
        <f>((0.0075+0.0073)*(1-AER!I$27) + (0.0073)*(AER!I$27)) * Lifetime_mileage / 1000000</f>
        <v>1.9006125E-3</v>
      </c>
      <c r="P82" s="560"/>
      <c r="Q82" s="562">
        <f>Q62*(1-AER!I$27)</f>
        <v>1.1517036300000002E-2</v>
      </c>
      <c r="R82" s="383" t="s">
        <v>392</v>
      </c>
    </row>
    <row r="83" spans="1:18">
      <c r="A83" s="375" t="s">
        <v>393</v>
      </c>
      <c r="B83" s="387">
        <f>B44*158.44%</f>
        <v>46.657337363883499</v>
      </c>
      <c r="C83" s="387">
        <v>86.057319441726008</v>
      </c>
      <c r="D83" s="387">
        <v>5.2189985519557212</v>
      </c>
      <c r="E83" s="388">
        <f>Lifetime_mileage/D83*AER!I$27 / SUMMARY!$B$50</f>
        <v>9272.2856641551371</v>
      </c>
      <c r="F83" s="389">
        <f>Lifetime_mileage/B83 * (1-AER!I$27) + Lifetime_mileage/C83 * (AER!I$27)</f>
        <v>2797.0548453448346</v>
      </c>
      <c r="G83" s="559">
        <f t="shared" si="63"/>
        <v>24.571007994416235</v>
      </c>
      <c r="H83" s="560">
        <f>H63*(1-AER!I$27)</f>
        <v>5.1494750999999989E-4</v>
      </c>
      <c r="I83" s="560">
        <f>I63*(1-AER!I$27)</f>
        <v>1.2889799999999999E-3</v>
      </c>
      <c r="J83" s="561">
        <f t="shared" si="64"/>
        <v>24.983465482166235</v>
      </c>
      <c r="K83" s="560">
        <f>K63*(1-AER!I$27)</f>
        <v>0.37165589999999998</v>
      </c>
      <c r="L83" s="560"/>
      <c r="M83" s="560">
        <f>M64*(1-AER!I$27)</f>
        <v>6.2257733999999997E-3</v>
      </c>
      <c r="N83" s="560">
        <f>((0.0081+0.0205)*(1-AER!I$27) + (0.0205)*(AER!I$27)) * Lifetime_mileage / 1000000</f>
        <v>3.9450614999999994E-3</v>
      </c>
      <c r="O83" s="560">
        <f>((0.0075+0.0073)*(1-AER!I$27) + (0.0073)*(AER!I$27)) * Lifetime_mileage / 1000000</f>
        <v>1.9006125E-3</v>
      </c>
      <c r="P83" s="560"/>
      <c r="Q83" s="562">
        <f>Q63*(1-AER!I$27)</f>
        <v>1.1517036300000002E-2</v>
      </c>
      <c r="R83" s="383" t="s">
        <v>394</v>
      </c>
    </row>
    <row r="84" spans="1:18">
      <c r="A84" s="375" t="s">
        <v>395</v>
      </c>
      <c r="B84" s="387">
        <v>44.73</v>
      </c>
      <c r="C84" s="387">
        <v>64.416960773408036</v>
      </c>
      <c r="D84" s="387">
        <f>1/191.7425*1000</f>
        <v>5.2153278485468793</v>
      </c>
      <c r="E84" s="388">
        <f>Lifetime_mileage/D84*AER!I$27 / SUMMARY!$B$50</f>
        <v>9278.8117755681815</v>
      </c>
      <c r="F84" s="389">
        <f>Lifetime_mileage/B84 * (1-AER!I$27) + Lifetime_mileage/C84 * (AER!I$27)</f>
        <v>3062.4921076900964</v>
      </c>
      <c r="G84" s="559">
        <f>F84*galgas_to_mtCO2</f>
        <v>26.902768169214422</v>
      </c>
      <c r="H84" s="560">
        <f>H64*(1-AER!I$27)</f>
        <v>5.3514152999999999E-4</v>
      </c>
      <c r="I84" s="560">
        <f>I64*(1-AER!I$27)</f>
        <v>1.2889799999999999E-3</v>
      </c>
      <c r="J84" s="561">
        <f>G84+H84*CH4_to_CO2eq + I84*N2O_to_CO2eq</f>
        <v>27.315730507464419</v>
      </c>
      <c r="K84" s="560">
        <f>K64*(1-AER!I$27)</f>
        <v>0.37509318000000003</v>
      </c>
      <c r="L84" s="560"/>
      <c r="M84" s="560">
        <f>M64*(1-AER!I$27)</f>
        <v>6.2257733999999997E-3</v>
      </c>
      <c r="N84" s="560">
        <f>((0.0081+0.0205)*(1-AER!I$27) + (0.0205)*(AER!I$27)) * Lifetime_mileage / 1000000</f>
        <v>3.9450614999999994E-3</v>
      </c>
      <c r="O84" s="560">
        <f>((0.0075+0.0073)*(1-AER!I$27) + (0.0073)*(AER!I$27)) * Lifetime_mileage / 1000000</f>
        <v>1.9006125E-3</v>
      </c>
      <c r="P84" s="560"/>
      <c r="Q84" s="562">
        <f>Q64*(1-AER!I$27)</f>
        <v>1.1633044500000002E-2</v>
      </c>
      <c r="R84" s="383"/>
    </row>
    <row r="85" spans="1:18">
      <c r="A85" s="73" t="s">
        <v>99</v>
      </c>
      <c r="B85" s="64">
        <v>37</v>
      </c>
      <c r="C85" s="385">
        <v>0</v>
      </c>
      <c r="D85" s="64">
        <f>1/0.36</f>
        <v>2.7777777777777777</v>
      </c>
      <c r="E85" s="68">
        <f>Lifetime_mileage/D85*AER!$F$27 / SUMMARY!$B$50</f>
        <v>16292.045454545454</v>
      </c>
      <c r="F85" s="123">
        <f>Lifetime_mileage/B85 * (1-AER!$F$27)</f>
        <v>2977.7027027027025</v>
      </c>
      <c r="G85" s="69">
        <f t="shared" si="63"/>
        <v>26.15792716216216</v>
      </c>
      <c r="H85" s="70"/>
      <c r="I85" s="70"/>
      <c r="J85" s="117"/>
      <c r="K85" s="70"/>
      <c r="L85" s="70"/>
      <c r="M85" s="70">
        <f>1.2*SUMMARY!$B$32*0.454/1000</f>
        <v>6.5375999999999993E-3</v>
      </c>
      <c r="N85" s="70"/>
      <c r="O85" s="70"/>
      <c r="P85" s="70">
        <f>0.05*SUMMARY!$B$32*SUMMARY!B42/1000</f>
        <v>6.6054857142857151E-4</v>
      </c>
      <c r="Q85" s="66"/>
      <c r="R85" s="82" t="s">
        <v>105</v>
      </c>
    </row>
    <row r="86" spans="1:18" s="84" customFormat="1">
      <c r="A86" s="63" t="str">
        <f t="shared" ref="A86" si="65">A46</f>
        <v>GREET1.8d (2010)</v>
      </c>
      <c r="B86" s="74">
        <f t="array" ref="B86">SUM(IF($A86=$A71:$A85,B71:B85))</f>
        <v>36.623052392737868</v>
      </c>
      <c r="C86" s="74">
        <f t="array" ref="C86">SUM(IF($A86=$A71:$A85,C71:C85))</f>
        <v>73.898421647247872</v>
      </c>
      <c r="D86" s="74">
        <f t="array" ref="D86">SUM(IF($A86=$A71:$A85,D71:D85))</f>
        <v>5.2059941340110925</v>
      </c>
      <c r="E86" s="75">
        <f t="array" ref="E86">SUM(IF($A86=$A71:$A85,E71:E85))</f>
        <v>9295.4475569607584</v>
      </c>
      <c r="F86" s="124">
        <f t="array" ref="F86">SUM(IF($A86=$A71:$A85,F71:F85))</f>
        <v>3509.2527313124397</v>
      </c>
      <c r="G86" s="76">
        <f t="array" ref="G86">SUM(IF($A86=$A71:$A85,G71:G85))</f>
        <v>30.827381543487256</v>
      </c>
      <c r="H86" s="77">
        <f t="array" ref="H86">SUM(IF($A86=$A71:$A85,H71:H85))</f>
        <v>5.3514152999999999E-4</v>
      </c>
      <c r="I86" s="77">
        <f t="array" ref="I86">SUM(IF($A86=$A71:$A85,I71:I85))</f>
        <v>1.2889799999999999E-3</v>
      </c>
      <c r="J86" s="118">
        <f t="array" ref="J86">SUM(IF($A86=$A71:$A85,J71:J85))</f>
        <v>31.240343881737253</v>
      </c>
      <c r="K86" s="77">
        <f t="array" ref="K86">SUM(IF($A86=$A71:$A85,K71:K85))</f>
        <v>0.37509318000000003</v>
      </c>
      <c r="L86" s="77">
        <f t="array" ref="L86">SUM(IF($A86=$A71:$A85,L71:L85))</f>
        <v>0</v>
      </c>
      <c r="M86" s="77">
        <f t="array" ref="M86">SUM(IF($A86=$A71:$A85,M71:M85))</f>
        <v>6.2257733999999997E-3</v>
      </c>
      <c r="N86" s="77">
        <f t="array" ref="N86">SUM(IF($A86=$A71:$A85,N71:N85))</f>
        <v>3.9450614999999994E-3</v>
      </c>
      <c r="O86" s="77">
        <f t="array" ref="O86">SUM(IF($A86=$A71:$A85,O71:O85))</f>
        <v>1.9006125E-3</v>
      </c>
      <c r="P86" s="77">
        <f t="array" ref="P86">SUM(IF($A86=$A71:$A85,P71:P85))</f>
        <v>0</v>
      </c>
      <c r="Q86" s="78">
        <f t="array" ref="Q86">SUM(IF($A86=$A71:$A85,Q71:Q85))</f>
        <v>1.1517036300000002E-2</v>
      </c>
    </row>
    <row r="88" spans="1:18" s="85" customFormat="1">
      <c r="A88" s="83"/>
      <c r="B88" s="83"/>
      <c r="C88" s="83"/>
      <c r="D88" s="83"/>
      <c r="E88" s="83"/>
      <c r="F88" s="83"/>
      <c r="G88" s="83"/>
      <c r="H88" s="83"/>
      <c r="I88" s="83"/>
      <c r="J88" s="114"/>
      <c r="K88" s="83"/>
      <c r="L88" s="83"/>
      <c r="M88" s="83"/>
      <c r="N88" s="83"/>
      <c r="O88" s="83"/>
      <c r="P88" s="83"/>
    </row>
    <row r="89" spans="1:18" ht="45">
      <c r="A89" s="84" t="s">
        <v>11</v>
      </c>
      <c r="B89" s="67" t="str">
        <f>B69</f>
        <v>Gas Efficiency (CS-mode)</v>
      </c>
      <c r="C89" s="67" t="str">
        <f t="shared" ref="C89:Q89" si="66">C69</f>
        <v>Gas Efficiency (CD-mode)</v>
      </c>
      <c r="D89" s="67" t="str">
        <f t="shared" si="66"/>
        <v>Elec Efficiency (CD-mode)</v>
      </c>
      <c r="E89" s="67" t="str">
        <f t="shared" si="66"/>
        <v>Elec Use</v>
      </c>
      <c r="F89" s="67" t="str">
        <f t="shared" si="66"/>
        <v>Gas Use</v>
      </c>
      <c r="G89" s="67" t="str">
        <f t="shared" si="66"/>
        <v>CO2</v>
      </c>
      <c r="H89" s="67" t="str">
        <f t="shared" si="66"/>
        <v>CH4</v>
      </c>
      <c r="I89" s="67" t="str">
        <f t="shared" si="66"/>
        <v>N2O</v>
      </c>
      <c r="J89" s="67" t="str">
        <f t="shared" si="66"/>
        <v>Net GHGs (CO2eq)</v>
      </c>
      <c r="K89" s="67" t="str">
        <f t="shared" si="66"/>
        <v>CO</v>
      </c>
      <c r="L89" s="67" t="str">
        <f>L69</f>
        <v>NH3</v>
      </c>
      <c r="M89" s="67" t="str">
        <f>M69</f>
        <v>NOx</v>
      </c>
      <c r="N89" s="67" t="str">
        <f t="shared" si="66"/>
        <v>PM10</v>
      </c>
      <c r="O89" s="67" t="str">
        <f t="shared" si="66"/>
        <v>PM2.5</v>
      </c>
      <c r="P89" s="67" t="str">
        <f t="shared" si="66"/>
        <v>SO2</v>
      </c>
      <c r="Q89" s="67" t="str">
        <f t="shared" si="66"/>
        <v>VOC</v>
      </c>
    </row>
    <row r="90" spans="1:18" ht="15.75" thickBot="1">
      <c r="A90" s="72"/>
      <c r="B90" s="72" t="s">
        <v>30</v>
      </c>
      <c r="C90" s="72" t="s">
        <v>30</v>
      </c>
      <c r="D90" s="72" t="s">
        <v>31</v>
      </c>
      <c r="E90" s="72" t="s">
        <v>34</v>
      </c>
      <c r="F90" s="122" t="s">
        <v>33</v>
      </c>
      <c r="G90" s="72" t="s">
        <v>35</v>
      </c>
      <c r="H90" s="72" t="s">
        <v>35</v>
      </c>
      <c r="I90" s="72" t="s">
        <v>35</v>
      </c>
      <c r="J90" s="116" t="s">
        <v>35</v>
      </c>
      <c r="K90" s="72" t="s">
        <v>35</v>
      </c>
      <c r="L90" s="72" t="s">
        <v>35</v>
      </c>
      <c r="M90" s="72" t="s">
        <v>35</v>
      </c>
      <c r="N90" s="72" t="s">
        <v>35</v>
      </c>
      <c r="O90" s="72" t="s">
        <v>35</v>
      </c>
      <c r="P90" s="72" t="s">
        <v>35</v>
      </c>
      <c r="Q90" s="72" t="s">
        <v>35</v>
      </c>
      <c r="R90" s="162" t="s">
        <v>101</v>
      </c>
    </row>
    <row r="91" spans="1:18" ht="15.75" thickTop="1">
      <c r="A91" s="179" t="str">
        <f t="shared" ref="A91:A97" si="67">A29</f>
        <v>PSAT UDDS (ref)</v>
      </c>
      <c r="B91" s="180">
        <v>59.038860333000002</v>
      </c>
      <c r="C91" s="186">
        <v>0</v>
      </c>
      <c r="D91" s="191">
        <v>4.2874612248000004</v>
      </c>
      <c r="E91" s="181">
        <f>Lifetime_mileage/D91 * AER!$G$27 / SUMMARY!$B$50</f>
        <v>23404.664356765545</v>
      </c>
      <c r="F91" s="182">
        <f>Lifetime_mileage/B91 * (1-AER!$G$27)</f>
        <v>1044.9896839474616</v>
      </c>
      <c r="G91" s="183">
        <f t="shared" ref="G91:G97" si="68">F91*galgas_to_mtCO2</f>
        <v>9.1798163776048707</v>
      </c>
      <c r="H91" s="184"/>
      <c r="I91" s="184"/>
      <c r="J91" s="185">
        <f t="shared" ref="J91:J100" si="69">G91+H91*CH4_to_CO2eq + I91*N2O_to_CO2eq</f>
        <v>9.1798163776048707</v>
      </c>
      <c r="K91" s="184"/>
      <c r="L91" s="184"/>
      <c r="M91" s="184"/>
      <c r="N91" s="184"/>
      <c r="O91" s="184"/>
      <c r="P91" s="184"/>
      <c r="Q91" s="184"/>
      <c r="R91" s="82" t="s">
        <v>102</v>
      </c>
    </row>
    <row r="92" spans="1:18">
      <c r="A92" s="179" t="str">
        <f t="shared" si="67"/>
        <v>PSAT Combined (ref)</v>
      </c>
      <c r="B92" s="180">
        <v>59.274074915999996</v>
      </c>
      <c r="C92" s="186">
        <v>0</v>
      </c>
      <c r="D92" s="191">
        <v>4.6602839400000002</v>
      </c>
      <c r="E92" s="181">
        <f>Lifetime_mileage/D92 * AER!$G$27 / SUMMARY!$B$50</f>
        <v>21532.291208224302</v>
      </c>
      <c r="F92" s="182">
        <f>Lifetime_mileage/B92 * (1-AER!$G$27)</f>
        <v>1040.8428994873527</v>
      </c>
      <c r="G92" s="183">
        <f t="shared" si="68"/>
        <v>9.143388534836598</v>
      </c>
      <c r="H92" s="184"/>
      <c r="I92" s="184"/>
      <c r="J92" s="185">
        <f t="shared" si="69"/>
        <v>9.143388534836598</v>
      </c>
      <c r="K92" s="184"/>
      <c r="L92" s="184"/>
      <c r="M92" s="184"/>
      <c r="N92" s="184"/>
      <c r="O92" s="184"/>
      <c r="P92" s="184"/>
      <c r="Q92" s="184"/>
      <c r="R92" s="82" t="s">
        <v>102</v>
      </c>
    </row>
    <row r="93" spans="1:18" s="85" customFormat="1">
      <c r="A93" s="179" t="str">
        <f t="shared" si="67"/>
        <v>PSAT Adjusted (ref)</v>
      </c>
      <c r="B93" s="180">
        <v>43.514697855000001</v>
      </c>
      <c r="C93" s="186">
        <v>0</v>
      </c>
      <c r="D93" s="191">
        <v>4.6602839400000002</v>
      </c>
      <c r="E93" s="181">
        <f>Lifetime_mileage/D93 * AER!$G$27 / SUMMARY!$B$50</f>
        <v>21532.291208224302</v>
      </c>
      <c r="F93" s="182">
        <f>Lifetime_mileage/B93 * (1-AER!$G$27)</f>
        <v>1417.7968144368263</v>
      </c>
      <c r="G93" s="183">
        <f t="shared" si="68"/>
        <v>12.454777896101744</v>
      </c>
      <c r="H93" s="184"/>
      <c r="I93" s="184"/>
      <c r="J93" s="185">
        <f t="shared" si="69"/>
        <v>12.454777896101744</v>
      </c>
      <c r="K93" s="184"/>
      <c r="L93" s="184"/>
      <c r="M93" s="184"/>
      <c r="N93" s="184"/>
      <c r="O93" s="184"/>
      <c r="P93" s="184"/>
      <c r="Q93" s="184"/>
      <c r="R93" s="82" t="s">
        <v>102</v>
      </c>
    </row>
    <row r="94" spans="1:18">
      <c r="A94" s="179" t="str">
        <f t="shared" si="67"/>
        <v>Kromer/Heywood (ref)</v>
      </c>
      <c r="B94" s="180">
        <v>73.622164479000006</v>
      </c>
      <c r="C94" s="186">
        <v>0</v>
      </c>
      <c r="D94" s="191">
        <v>5.4680664896000009</v>
      </c>
      <c r="E94" s="181">
        <f>Lifetime_mileage/D94 * AER!$G$27 / SUMMARY!$B$50</f>
        <v>18351.384552463889</v>
      </c>
      <c r="F94" s="182">
        <f>Lifetime_mileage/B94 * (1-AER!$G$27)</f>
        <v>837.99492227096755</v>
      </c>
      <c r="G94" s="183">
        <f t="shared" si="68"/>
        <v>7.3614501941815416</v>
      </c>
      <c r="H94" s="184"/>
      <c r="I94" s="184"/>
      <c r="J94" s="185">
        <f t="shared" si="69"/>
        <v>7.3614501941815416</v>
      </c>
      <c r="K94" s="184"/>
      <c r="L94" s="184"/>
      <c r="M94" s="184"/>
      <c r="N94" s="184"/>
      <c r="O94" s="184"/>
      <c r="P94" s="184"/>
      <c r="Q94" s="184"/>
      <c r="R94" s="82" t="s">
        <v>103</v>
      </c>
    </row>
    <row r="95" spans="1:18">
      <c r="A95" s="179" t="str">
        <f t="shared" si="67"/>
        <v>Jaramillo et al (ref)</v>
      </c>
      <c r="B95" s="180">
        <v>43.279483271999993</v>
      </c>
      <c r="C95" s="186">
        <v>0</v>
      </c>
      <c r="D95" s="191">
        <v>2.9825817215999999</v>
      </c>
      <c r="E95" s="181">
        <f>Lifetime_mileage/D95 * AER!$G$27 / SUMMARY!$B$50</f>
        <v>33644.205012850471</v>
      </c>
      <c r="F95" s="182">
        <f>Lifetime_mileage/B95 * (1-AER!$G$27)</f>
        <v>1425.502231906592</v>
      </c>
      <c r="G95" s="183">
        <f t="shared" si="68"/>
        <v>12.522466906406647</v>
      </c>
      <c r="H95" s="184"/>
      <c r="I95" s="184"/>
      <c r="J95" s="185">
        <f t="shared" si="69"/>
        <v>12.522466906406647</v>
      </c>
      <c r="K95" s="184"/>
      <c r="L95" s="184"/>
      <c r="M95" s="184"/>
      <c r="N95" s="184"/>
      <c r="O95" s="184"/>
      <c r="P95" s="184"/>
      <c r="Q95" s="184"/>
      <c r="R95" s="82" t="s">
        <v>104</v>
      </c>
    </row>
    <row r="96" spans="1:18">
      <c r="A96" s="179" t="str">
        <f t="shared" si="67"/>
        <v>ANL / Combined (ref)</v>
      </c>
      <c r="B96" s="180">
        <v>48.689418680999999</v>
      </c>
      <c r="C96" s="186">
        <v>0</v>
      </c>
      <c r="D96" s="191">
        <f>D92</f>
        <v>4.6602839400000002</v>
      </c>
      <c r="E96" s="181">
        <f>Lifetime_mileage/D96 * AER!$G$27 / SUMMARY!$B$50</f>
        <v>21532.291208224302</v>
      </c>
      <c r="F96" s="182">
        <f>Lifetime_mileage/B96 * (1-AER!$G$27)</f>
        <v>1267.1130950280815</v>
      </c>
      <c r="G96" s="183">
        <f t="shared" si="68"/>
        <v>11.131081694583685</v>
      </c>
      <c r="H96" s="184"/>
      <c r="I96" s="184"/>
      <c r="J96" s="185">
        <f t="shared" si="69"/>
        <v>11.131081694583685</v>
      </c>
      <c r="K96" s="184"/>
      <c r="L96" s="184"/>
      <c r="M96" s="184"/>
      <c r="N96" s="184"/>
      <c r="O96" s="184"/>
      <c r="P96" s="184"/>
      <c r="Q96" s="184"/>
      <c r="R96" s="82" t="s">
        <v>90</v>
      </c>
    </row>
    <row r="97" spans="1:18">
      <c r="A97" s="179" t="str">
        <f t="shared" si="67"/>
        <v>NRC (ref)</v>
      </c>
      <c r="B97" s="180">
        <v>71.034804065999992</v>
      </c>
      <c r="C97" s="186">
        <v>0</v>
      </c>
      <c r="D97" s="191">
        <v>3.9767756288000005</v>
      </c>
      <c r="E97" s="181">
        <f>Lifetime_mileage/D97 * AER!$G$27 / SUMMARY!$B$50</f>
        <v>25233.153759637848</v>
      </c>
      <c r="F97" s="182">
        <f>Lifetime_mileage/B97 * (1-AER!$G$27)</f>
        <v>868.51791612851957</v>
      </c>
      <c r="G97" s="183">
        <f t="shared" si="68"/>
        <v>7.6295824860225929</v>
      </c>
      <c r="H97" s="184"/>
      <c r="I97" s="184"/>
      <c r="J97" s="185">
        <f t="shared" si="69"/>
        <v>7.6295824860225929</v>
      </c>
      <c r="K97" s="184"/>
      <c r="L97" s="184"/>
      <c r="M97" s="184"/>
      <c r="N97" s="184"/>
      <c r="O97" s="184"/>
      <c r="P97" s="184"/>
      <c r="Q97" s="184"/>
      <c r="R97" s="82" t="s">
        <v>216</v>
      </c>
    </row>
    <row r="98" spans="1:18" s="85" customFormat="1">
      <c r="A98" s="73" t="str">
        <f t="shared" ref="A98:A99" si="70">A39</f>
        <v>NRDC-EPRI</v>
      </c>
      <c r="B98" s="64">
        <f>B78</f>
        <v>37.1</v>
      </c>
      <c r="C98" s="385">
        <v>0</v>
      </c>
      <c r="D98" s="71">
        <f>1/0.312</f>
        <v>3.2051282051282053</v>
      </c>
      <c r="E98" s="68">
        <f>Lifetime_mileage/D98 * AER!$G$27 / SUMMARY!$B$50</f>
        <v>31308.136363636364</v>
      </c>
      <c r="F98" s="123">
        <f>Lifetime_mileage/B98 * (1-AER!$G$27)</f>
        <v>1662.9380053908355</v>
      </c>
      <c r="G98" s="156">
        <f>288 * Lifetime_mileage / 1000000</f>
        <v>43.2</v>
      </c>
      <c r="H98" s="70"/>
      <c r="I98" s="70"/>
      <c r="J98" s="117">
        <f t="shared" si="69"/>
        <v>43.2</v>
      </c>
      <c r="K98" s="119">
        <f>6.654 * Lifetime_mileage / 1000000</f>
        <v>0.99809999999999999</v>
      </c>
      <c r="L98" s="119"/>
      <c r="M98" s="119">
        <f>0.162 * Lifetime_mileage / 1000000</f>
        <v>2.4299999999999999E-2</v>
      </c>
      <c r="N98" s="119">
        <f>0.024 * Lifetime_mileage / 1000000</f>
        <v>3.5999999999999999E-3</v>
      </c>
      <c r="O98" s="119">
        <f>0.01 * Lifetime_mileage / 1000000</f>
        <v>1.5E-3</v>
      </c>
      <c r="P98" s="119">
        <f>0.005 * Lifetime_mileage / 1000000</f>
        <v>7.5000000000000002E-4</v>
      </c>
      <c r="Q98" s="119">
        <f>0.262 * Lifetime_mileage / 1000000</f>
        <v>3.9300000000000002E-2</v>
      </c>
      <c r="R98" s="82" t="s">
        <v>88</v>
      </c>
    </row>
    <row r="99" spans="1:18">
      <c r="A99" s="73" t="str">
        <f t="shared" si="70"/>
        <v>GREET1.7 (2010)</v>
      </c>
      <c r="B99" s="64">
        <f>B59</f>
        <v>34.78</v>
      </c>
      <c r="C99" s="385">
        <v>0</v>
      </c>
      <c r="D99" s="71">
        <f>D79</f>
        <v>2.0721133603238866</v>
      </c>
      <c r="E99" s="68">
        <f>Lifetime_mileage/D99 * AER!$G$27 / SUMMARY!$B$50</f>
        <v>48427.172388583022</v>
      </c>
      <c r="F99" s="123">
        <f>Lifetime_mileage/B99 * (1-AER!$G$27)</f>
        <v>1773.8642898217365</v>
      </c>
      <c r="G99" s="69">
        <f>F99*galgas_to_mtCO2</f>
        <v>15.582688240368027</v>
      </c>
      <c r="H99" s="70">
        <f>H59*(1-AER!G$27)</f>
        <v>3.0736449000000001E-4</v>
      </c>
      <c r="I99" s="70">
        <f>I59*(1-AER!G$27)</f>
        <v>7.4034000000000003E-4</v>
      </c>
      <c r="J99" s="117">
        <f t="shared" si="69"/>
        <v>15.819877752618028</v>
      </c>
      <c r="K99" s="70">
        <f>K59*(1-AER!G$27)</f>
        <v>0.21543894000000002</v>
      </c>
      <c r="L99" s="70"/>
      <c r="M99" s="70">
        <f>M59*(1-AER!G$27)</f>
        <v>3.5758422000000002E-3</v>
      </c>
      <c r="N99" s="70">
        <f>((0.0081+0.0205)*(1-AER!G$27) + (0.0205)*(AER!G$27)) * Lifetime_mileage / 1000000</f>
        <v>3.5747294999999998E-3</v>
      </c>
      <c r="O99" s="70">
        <f>((0.0075+0.0073)*(1-AER!G$27) + (0.0073)*(AER!G$27)) * Lifetime_mileage / 1000000</f>
        <v>1.5577125000000001E-3</v>
      </c>
      <c r="P99" s="70"/>
      <c r="Q99" s="66">
        <f>Q59*(1-AER!G$27)</f>
        <v>6.6815685000000012E-3</v>
      </c>
      <c r="R99" s="82" t="s">
        <v>93</v>
      </c>
    </row>
    <row r="100" spans="1:18">
      <c r="A100" s="73" t="str">
        <f>A41</f>
        <v>GREET1.7 (2020)</v>
      </c>
      <c r="B100" s="64">
        <f>B60</f>
        <v>36.327999999999996</v>
      </c>
      <c r="C100" s="385">
        <v>0</v>
      </c>
      <c r="D100" s="71">
        <f>D80</f>
        <v>2.1073833749676973</v>
      </c>
      <c r="E100" s="68">
        <f>Lifetime_mileage/D100 * AER!$G$27 / SUMMARY!$B$50</f>
        <v>47616.675779569094</v>
      </c>
      <c r="F100" s="123">
        <f>Lifetime_mileage/B100 * (1-AER!$G$27)</f>
        <v>1698.2768112750496</v>
      </c>
      <c r="G100" s="69">
        <f>F100*galgas_to_mtCO2</f>
        <v>14.918682476326801</v>
      </c>
      <c r="H100" s="70">
        <f>H60*(1-AER!G$27)</f>
        <v>2.9576582999999996E-4</v>
      </c>
      <c r="I100" s="70">
        <f>I60*(1-AER!G$27)</f>
        <v>7.4034000000000003E-4</v>
      </c>
      <c r="J100" s="117">
        <f t="shared" si="69"/>
        <v>15.155582022076802</v>
      </c>
      <c r="K100" s="70">
        <f>K60*(1-AER!G$27)</f>
        <v>0.21346470000000001</v>
      </c>
      <c r="L100" s="70"/>
      <c r="M100" s="70">
        <f>M60*(1-AER!G$27)</f>
        <v>3.5758422000000002E-3</v>
      </c>
      <c r="N100" s="70">
        <f>((0.0081+0.0205)*(1-AER!G$27) + (0.0205)*(AER!G$27)) * Lifetime_mileage / 1000000</f>
        <v>3.5747294999999998E-3</v>
      </c>
      <c r="O100" s="70">
        <f>((0.0075+0.0073)*(1-AER!G$27) + (0.0073)*(AER!G$27)) * Lifetime_mileage / 1000000</f>
        <v>1.5577125000000001E-3</v>
      </c>
      <c r="P100" s="70"/>
      <c r="Q100" s="66">
        <f>Q60*(1-AER!G$27)</f>
        <v>6.6149379000000012E-3</v>
      </c>
      <c r="R100" s="82" t="s">
        <v>93</v>
      </c>
    </row>
    <row r="101" spans="1:18">
      <c r="A101" s="563" t="s">
        <v>389</v>
      </c>
      <c r="B101" s="576">
        <f>B42*111.44%</f>
        <v>27.647154576932042</v>
      </c>
      <c r="C101" s="570">
        <v>510.23031987815</v>
      </c>
      <c r="D101" s="570">
        <v>2.9020823206567439</v>
      </c>
      <c r="E101" s="571">
        <f>Lifetime_mileage/D101 * AER!J$27 / SUMMARY!$B$50</f>
        <v>27311.893626238252</v>
      </c>
      <c r="F101" s="572">
        <f>Lifetime_mileage/B101 * (1-AER!J$27) + Lifetime_mileage/C101 * (AER!J$27)</f>
        <v>3039.3524911526138</v>
      </c>
      <c r="G101" s="573">
        <f t="shared" ref="G101:G104" si="71">F101*galgas_to_mtCO2</f>
        <v>26.69949589377925</v>
      </c>
      <c r="H101" s="574">
        <f>H61*(1-AER!J$27)</f>
        <v>3.9980549999999994E-4</v>
      </c>
      <c r="I101" s="574">
        <f>I61*(1-AER!J$27)</f>
        <v>9.6299999999999988E-4</v>
      </c>
      <c r="J101" s="575">
        <f t="shared" ref="J101:J104" si="72">G101+H101*CH4_to_CO2eq + I101*N2O_to_CO2eq</f>
        <v>27.008021031279249</v>
      </c>
      <c r="K101" s="574">
        <f>K61*(1-AER!J$27)</f>
        <v>0.28023299999999995</v>
      </c>
      <c r="L101" s="574"/>
      <c r="M101" s="574">
        <f>M61*(1-AER!J$27)</f>
        <v>4.6512899999999998E-3</v>
      </c>
      <c r="N101" s="574">
        <f>((0.0081+0.0205)*(1-AER!J$27) + (0.0205)*(AER!J$27)) * Lifetime_mileage / 1000000</f>
        <v>3.7250250000000003E-3</v>
      </c>
      <c r="O101" s="574">
        <f>((0.0075+0.0073)*(1-AER!J$27) + (0.0073)*(AER!J$27)) * Lifetime_mileage / 1000000</f>
        <v>1.696875E-3</v>
      </c>
      <c r="P101" s="574"/>
      <c r="Q101" s="574">
        <f>Q61*(1-AER!J$27)</f>
        <v>8.6044050000000007E-3</v>
      </c>
      <c r="R101" s="383" t="s">
        <v>390</v>
      </c>
    </row>
    <row r="102" spans="1:18">
      <c r="A102" s="375" t="s">
        <v>391</v>
      </c>
      <c r="B102" s="390">
        <f>B43*120.05%</f>
        <v>32.658148787742718</v>
      </c>
      <c r="C102" s="387">
        <v>526.29526257425459</v>
      </c>
      <c r="D102" s="391">
        <v>3.0195003906605034</v>
      </c>
      <c r="E102" s="388">
        <f>Lifetime_mileage/D102 * AER!J$27 / SUMMARY!$B$50</f>
        <v>26249.827250072172</v>
      </c>
      <c r="F102" s="389">
        <f>Lifetime_mileage/B102 * (1-AER!J$27) + Lifetime_mileage/C102 * (AER!J$27)</f>
        <v>2589.8035593508002</v>
      </c>
      <c r="G102" s="559">
        <f t="shared" si="71"/>
        <v>22.750388347473042</v>
      </c>
      <c r="H102" s="560">
        <f>H62*(1-AER!J$27)</f>
        <v>3.9226199999999988E-4</v>
      </c>
      <c r="I102" s="560">
        <f>I62*(1-AER!J$27)</f>
        <v>9.6299999999999988E-4</v>
      </c>
      <c r="J102" s="561">
        <f t="shared" si="72"/>
        <v>23.058724897473041</v>
      </c>
      <c r="K102" s="560">
        <f>K62*(1-AER!J$27)</f>
        <v>0.27943050000000003</v>
      </c>
      <c r="L102" s="560"/>
      <c r="M102" s="560">
        <f>M62*(1-AER!J$27)</f>
        <v>4.6512899999999998E-3</v>
      </c>
      <c r="N102" s="560">
        <f>((0.0081+0.0205)*(1-AER!J$27) + (0.0205)*(AER!J$27)) * Lifetime_mileage / 1000000</f>
        <v>3.7250250000000003E-3</v>
      </c>
      <c r="O102" s="560">
        <f>((0.0075+0.0073)*(1-AER!J$27) + (0.0073)*(AER!J$27)) * Lifetime_mileage / 1000000</f>
        <v>1.696875E-3</v>
      </c>
      <c r="P102" s="560"/>
      <c r="Q102" s="562">
        <f>Q62*(1-AER!J$27)</f>
        <v>8.6044050000000007E-3</v>
      </c>
      <c r="R102" s="383" t="s">
        <v>392</v>
      </c>
    </row>
    <row r="103" spans="1:18">
      <c r="A103" s="375" t="s">
        <v>393</v>
      </c>
      <c r="B103" s="390">
        <f>B44*122.17%</f>
        <v>35.976564666407768</v>
      </c>
      <c r="C103" s="387">
        <v>529.12322693896192</v>
      </c>
      <c r="D103" s="391">
        <v>3.0880221976565627</v>
      </c>
      <c r="E103" s="388">
        <f>Lifetime_mileage/D103 * AER!J$27 / SUMMARY!$B$50</f>
        <v>25667.355531483379</v>
      </c>
      <c r="F103" s="389">
        <f>Lifetime_mileage/B103 * (1-AER!J$27) + Lifetime_mileage/C103 * (AER!J$27)</f>
        <v>2362.440603172457</v>
      </c>
      <c r="G103" s="559">
        <f t="shared" si="71"/>
        <v>20.753095722628768</v>
      </c>
      <c r="H103" s="560">
        <f>H63*(1-AER!J$27)</f>
        <v>3.8471849999999988E-4</v>
      </c>
      <c r="I103" s="560">
        <f>I63*(1-AER!J$27)</f>
        <v>9.6299999999999988E-4</v>
      </c>
      <c r="J103" s="561">
        <f t="shared" si="72"/>
        <v>21.061243685128765</v>
      </c>
      <c r="K103" s="560">
        <f>K63*(1-AER!J$27)</f>
        <v>0.277665</v>
      </c>
      <c r="L103" s="560"/>
      <c r="M103" s="560">
        <f>M63*(1-AER!J$27)</f>
        <v>4.6512899999999998E-3</v>
      </c>
      <c r="N103" s="560">
        <f>((0.0081+0.0205)*(1-AER!J$27) + (0.0205)*(AER!J$27)) * Lifetime_mileage / 1000000</f>
        <v>3.7250250000000003E-3</v>
      </c>
      <c r="O103" s="560">
        <f>((0.0075+0.0073)*(1-AER!J$27) + (0.0073)*(AER!J$27)) * Lifetime_mileage / 1000000</f>
        <v>1.696875E-3</v>
      </c>
      <c r="P103" s="560"/>
      <c r="Q103" s="562">
        <f>Q63*(1-AER!J$27)</f>
        <v>8.6044050000000007E-3</v>
      </c>
      <c r="R103" s="383" t="s">
        <v>394</v>
      </c>
    </row>
    <row r="104" spans="1:18">
      <c r="A104" s="375" t="s">
        <v>395</v>
      </c>
      <c r="B104" s="387">
        <v>34.217792775647105</v>
      </c>
      <c r="C104" s="387">
        <v>522.04609716391064</v>
      </c>
      <c r="D104" s="391">
        <f>1/331.1225*1000</f>
        <v>3.0200303513050306</v>
      </c>
      <c r="E104" s="388">
        <f>Lifetime_mileage/D104 * AER!J$27 / SUMMARY!$B$50</f>
        <v>26245.22088068182</v>
      </c>
      <c r="F104" s="389">
        <f>Lifetime_mileage/B104 * (1-AER!J$27) + Lifetime_mileage/C104 * (AER!J$27)</f>
        <v>2478.8799761362043</v>
      </c>
      <c r="G104" s="559">
        <f t="shared" si="71"/>
        <v>21.7759690383661</v>
      </c>
      <c r="H104" s="560">
        <f>H64*(1-AER!J$27)</f>
        <v>3.9980549999999994E-4</v>
      </c>
      <c r="I104" s="560">
        <f>I64*(1-AER!J$27)</f>
        <v>9.6299999999999988E-4</v>
      </c>
      <c r="J104" s="561">
        <f t="shared" si="72"/>
        <v>22.084494175866098</v>
      </c>
      <c r="K104" s="560">
        <f>K64*(1-AER!J$27)</f>
        <v>0.28023299999999995</v>
      </c>
      <c r="L104" s="560"/>
      <c r="M104" s="560">
        <f>M64*(1-AER!J$27)</f>
        <v>4.6512899999999998E-3</v>
      </c>
      <c r="N104" s="560">
        <f>((0.0081+0.0205)*(1-AER!J$27) + (0.0205)*(AER!J$27)) * Lifetime_mileage / 1000000</f>
        <v>3.7250250000000003E-3</v>
      </c>
      <c r="O104" s="560">
        <f>((0.0075+0.0073)*(1-AER!J$27) + (0.0073)*(AER!J$27)) * Lifetime_mileage / 1000000</f>
        <v>1.696875E-3</v>
      </c>
      <c r="P104" s="560"/>
      <c r="Q104" s="562">
        <f>Q64*(1-AER!J$27)</f>
        <v>8.6910749999999995E-3</v>
      </c>
      <c r="R104" s="383"/>
    </row>
    <row r="105" spans="1:18" s="84" customFormat="1">
      <c r="A105" s="63" t="str">
        <f t="shared" ref="A105" si="73">A46</f>
        <v>GREET1.8d (2010)</v>
      </c>
      <c r="B105" s="74">
        <f t="array" ref="B105">SUM(IF($A105=$A91:$A104,B91:B104))</f>
        <v>27.647154576932042</v>
      </c>
      <c r="C105" s="74">
        <f t="array" ref="C105">SUM(IF($A105=$A91:$A104,C91:C104))</f>
        <v>510.23031987815</v>
      </c>
      <c r="D105" s="74">
        <f t="array" ref="D105">SUM(IF($A105=$A91:$A104,D91:D104))</f>
        <v>2.9020823206567439</v>
      </c>
      <c r="E105" s="75">
        <f t="array" ref="E105">SUM(IF($A105=$A91:$A104,E91:E104))</f>
        <v>27311.893626238252</v>
      </c>
      <c r="F105" s="124">
        <f t="array" ref="F105">SUM(IF($A105=$A91:$A104,F91:F104))</f>
        <v>3039.3524911526138</v>
      </c>
      <c r="G105" s="76">
        <f t="array" ref="G105">SUM(IF($A105=$A91:$A104,G91:G104))</f>
        <v>26.69949589377925</v>
      </c>
      <c r="H105" s="77">
        <f t="array" ref="H105">SUM(IF($A105=$A91:$A104,H91:H104))</f>
        <v>3.9980549999999994E-4</v>
      </c>
      <c r="I105" s="77">
        <f t="array" ref="I105">SUM(IF($A105=$A91:$A104,I91:I104))</f>
        <v>9.6299999999999988E-4</v>
      </c>
      <c r="J105" s="118">
        <f t="array" ref="J105">SUM(IF($A105=$A91:$A104,J91:J104))</f>
        <v>27.008021031279249</v>
      </c>
      <c r="K105" s="77">
        <f t="array" ref="K105">SUM(IF($A105=$A91:$A104,K91:K104))</f>
        <v>0.28023299999999995</v>
      </c>
      <c r="L105" s="77">
        <f t="array" ref="L105">SUM(IF($A105=$A91:$A104,L91:L104))</f>
        <v>0</v>
      </c>
      <c r="M105" s="77">
        <f t="array" ref="M105">SUM(IF($A105=$A91:$A104,M91:M104))</f>
        <v>4.6512899999999998E-3</v>
      </c>
      <c r="N105" s="77">
        <f t="array" ref="N105">SUM(IF($A105=$A91:$A104,N91:N104))</f>
        <v>3.7250250000000003E-3</v>
      </c>
      <c r="O105" s="77">
        <f t="array" ref="O105">SUM(IF($A105=$A91:$A104,O91:O104))</f>
        <v>1.696875E-3</v>
      </c>
      <c r="P105" s="77">
        <f t="array" ref="P105">SUM(IF($A105=$A91:$A104,P91:P104))</f>
        <v>0</v>
      </c>
      <c r="Q105" s="78">
        <f t="array" ref="Q105">SUM(IF($A105=$A91:$A104,Q91:Q104))</f>
        <v>8.6044050000000007E-3</v>
      </c>
    </row>
    <row r="107" spans="1:18">
      <c r="A107" s="83"/>
      <c r="B107" s="83"/>
      <c r="C107" s="83"/>
      <c r="D107" s="83"/>
      <c r="E107" s="83"/>
      <c r="F107" s="83"/>
      <c r="G107" s="83"/>
      <c r="H107" s="83"/>
      <c r="I107" s="83"/>
      <c r="K107" s="83"/>
      <c r="L107" s="83"/>
      <c r="M107" s="83"/>
      <c r="N107" s="83"/>
      <c r="O107" s="83"/>
      <c r="P107" s="83"/>
    </row>
    <row r="108" spans="1:18" ht="45">
      <c r="A108" s="84" t="s">
        <v>24</v>
      </c>
      <c r="B108" s="67" t="str">
        <f>B89</f>
        <v>Gas Efficiency (CS-mode)</v>
      </c>
      <c r="C108" s="67" t="str">
        <f t="shared" ref="C108:Q108" si="74">C89</f>
        <v>Gas Efficiency (CD-mode)</v>
      </c>
      <c r="D108" s="67" t="str">
        <f t="shared" si="74"/>
        <v>Elec Efficiency (CD-mode)</v>
      </c>
      <c r="E108" s="67" t="str">
        <f t="shared" si="74"/>
        <v>Elec Use</v>
      </c>
      <c r="F108" s="67" t="str">
        <f t="shared" si="74"/>
        <v>Gas Use</v>
      </c>
      <c r="G108" s="67" t="str">
        <f t="shared" si="74"/>
        <v>CO2</v>
      </c>
      <c r="H108" s="67" t="str">
        <f t="shared" si="74"/>
        <v>CH4</v>
      </c>
      <c r="I108" s="67" t="str">
        <f t="shared" si="74"/>
        <v>N2O</v>
      </c>
      <c r="J108" s="67" t="str">
        <f t="shared" si="74"/>
        <v>Net GHGs (CO2eq)</v>
      </c>
      <c r="K108" s="67" t="str">
        <f t="shared" si="74"/>
        <v>CO</v>
      </c>
      <c r="L108" s="67" t="str">
        <f>L89</f>
        <v>NH3</v>
      </c>
      <c r="M108" s="67" t="str">
        <f>M89</f>
        <v>NOx</v>
      </c>
      <c r="N108" s="67" t="str">
        <f t="shared" si="74"/>
        <v>PM10</v>
      </c>
      <c r="O108" s="67" t="str">
        <f t="shared" si="74"/>
        <v>PM2.5</v>
      </c>
      <c r="P108" s="67" t="str">
        <f t="shared" si="74"/>
        <v>SO2</v>
      </c>
      <c r="Q108" s="67" t="str">
        <f t="shared" si="74"/>
        <v>VOC</v>
      </c>
    </row>
    <row r="109" spans="1:18" ht="15.75" thickBot="1">
      <c r="A109" s="72"/>
      <c r="B109" s="72" t="s">
        <v>30</v>
      </c>
      <c r="C109" s="72" t="s">
        <v>30</v>
      </c>
      <c r="D109" s="72" t="s">
        <v>31</v>
      </c>
      <c r="E109" s="72" t="s">
        <v>34</v>
      </c>
      <c r="F109" s="122" t="s">
        <v>33</v>
      </c>
      <c r="G109" s="72" t="s">
        <v>35</v>
      </c>
      <c r="H109" s="72" t="s">
        <v>35</v>
      </c>
      <c r="I109" s="72" t="s">
        <v>35</v>
      </c>
      <c r="J109" s="116" t="s">
        <v>35</v>
      </c>
      <c r="K109" s="72" t="s">
        <v>35</v>
      </c>
      <c r="L109" s="72" t="s">
        <v>35</v>
      </c>
      <c r="M109" s="72" t="s">
        <v>35</v>
      </c>
      <c r="N109" s="72" t="s">
        <v>35</v>
      </c>
      <c r="O109" s="72" t="s">
        <v>35</v>
      </c>
      <c r="P109" s="72" t="s">
        <v>35</v>
      </c>
      <c r="Q109" s="72" t="s">
        <v>35</v>
      </c>
      <c r="R109" s="162" t="s">
        <v>101</v>
      </c>
    </row>
    <row r="110" spans="1:18" ht="15.75" thickTop="1">
      <c r="A110" s="179" t="str">
        <f t="shared" ref="A110:A116" si="75">A29</f>
        <v>PSAT UDDS (ref)</v>
      </c>
      <c r="B110" s="181">
        <v>0</v>
      </c>
      <c r="C110" s="181">
        <v>0</v>
      </c>
      <c r="D110" s="191"/>
      <c r="E110" s="181" t="e">
        <f>Lifetime_mileage/D110 * AER!$H$27 / SUMMARY!$B$50</f>
        <v>#DIV/0!</v>
      </c>
      <c r="F110" s="182">
        <v>0</v>
      </c>
      <c r="G110" s="181">
        <f t="shared" ref="G110:G119" si="76">F110*galgas_to_mtCO2</f>
        <v>0</v>
      </c>
      <c r="H110" s="181">
        <v>0</v>
      </c>
      <c r="I110" s="181">
        <v>0</v>
      </c>
      <c r="J110" s="392">
        <f t="shared" ref="J110:J119" si="77">G110+H110*CH4_to_CO2eq + I110*N2O_to_CO2eq</f>
        <v>0</v>
      </c>
      <c r="K110" s="181"/>
      <c r="L110" s="181"/>
      <c r="M110" s="181"/>
      <c r="N110" s="181"/>
      <c r="O110" s="181"/>
      <c r="P110" s="181"/>
      <c r="Q110" s="181"/>
      <c r="R110" s="82" t="s">
        <v>102</v>
      </c>
    </row>
    <row r="111" spans="1:18" s="85" customFormat="1">
      <c r="A111" s="179" t="str">
        <f t="shared" si="75"/>
        <v>PSAT Combined (ref)</v>
      </c>
      <c r="B111" s="181">
        <v>0</v>
      </c>
      <c r="C111" s="181">
        <v>0</v>
      </c>
      <c r="D111" s="191"/>
      <c r="E111" s="181" t="e">
        <f>Lifetime_mileage/D111 * AER!$H$27 / SUMMARY!$B$50</f>
        <v>#DIV/0!</v>
      </c>
      <c r="F111" s="182">
        <v>0</v>
      </c>
      <c r="G111" s="181">
        <f t="shared" si="76"/>
        <v>0</v>
      </c>
      <c r="H111" s="181">
        <v>0</v>
      </c>
      <c r="I111" s="181">
        <v>0</v>
      </c>
      <c r="J111" s="392">
        <f t="shared" si="77"/>
        <v>0</v>
      </c>
      <c r="K111" s="181"/>
      <c r="L111" s="181"/>
      <c r="M111" s="181"/>
      <c r="N111" s="181"/>
      <c r="O111" s="181"/>
      <c r="P111" s="181"/>
      <c r="Q111" s="181"/>
      <c r="R111" s="82" t="s">
        <v>102</v>
      </c>
    </row>
    <row r="112" spans="1:18">
      <c r="A112" s="179" t="str">
        <f t="shared" si="75"/>
        <v>PSAT Adjusted (ref)</v>
      </c>
      <c r="B112" s="181">
        <v>0</v>
      </c>
      <c r="C112" s="181">
        <v>0</v>
      </c>
      <c r="D112" s="191"/>
      <c r="E112" s="181" t="e">
        <f>Lifetime_mileage/D112 * AER!$H$27 / SUMMARY!$B$50</f>
        <v>#DIV/0!</v>
      </c>
      <c r="F112" s="182">
        <v>0</v>
      </c>
      <c r="G112" s="181">
        <f t="shared" si="76"/>
        <v>0</v>
      </c>
      <c r="H112" s="181">
        <v>0</v>
      </c>
      <c r="I112" s="181">
        <v>0</v>
      </c>
      <c r="J112" s="392">
        <f t="shared" si="77"/>
        <v>0</v>
      </c>
      <c r="K112" s="181"/>
      <c r="L112" s="181"/>
      <c r="M112" s="181"/>
      <c r="N112" s="181"/>
      <c r="O112" s="181"/>
      <c r="P112" s="181"/>
      <c r="Q112" s="181"/>
      <c r="R112" s="82" t="s">
        <v>102</v>
      </c>
    </row>
    <row r="113" spans="1:18">
      <c r="A113" s="179" t="str">
        <f t="shared" si="75"/>
        <v>Kromer/Heywood (ref)</v>
      </c>
      <c r="B113" s="181">
        <v>0</v>
      </c>
      <c r="C113" s="181">
        <v>0</v>
      </c>
      <c r="D113" s="191"/>
      <c r="E113" s="181" t="e">
        <f>Lifetime_mileage/D113 * AER!$H$27 / SUMMARY!$B$50</f>
        <v>#DIV/0!</v>
      </c>
      <c r="F113" s="182">
        <v>0</v>
      </c>
      <c r="G113" s="181">
        <f t="shared" si="76"/>
        <v>0</v>
      </c>
      <c r="H113" s="181">
        <v>0</v>
      </c>
      <c r="I113" s="181">
        <v>0</v>
      </c>
      <c r="J113" s="392">
        <f t="shared" si="77"/>
        <v>0</v>
      </c>
      <c r="K113" s="181"/>
      <c r="L113" s="181"/>
      <c r="M113" s="181"/>
      <c r="N113" s="181"/>
      <c r="O113" s="181"/>
      <c r="P113" s="181"/>
      <c r="Q113" s="181"/>
      <c r="R113" s="82" t="s">
        <v>103</v>
      </c>
    </row>
    <row r="114" spans="1:18">
      <c r="A114" s="179" t="str">
        <f t="shared" si="75"/>
        <v>Jaramillo et al (ref)</v>
      </c>
      <c r="B114" s="181">
        <v>0</v>
      </c>
      <c r="C114" s="181">
        <v>0</v>
      </c>
      <c r="D114" s="191"/>
      <c r="E114" s="181" t="e">
        <f>Lifetime_mileage/D114 * AER!$H$27 / SUMMARY!$B$50</f>
        <v>#DIV/0!</v>
      </c>
      <c r="F114" s="182">
        <v>0</v>
      </c>
      <c r="G114" s="181">
        <f t="shared" si="76"/>
        <v>0</v>
      </c>
      <c r="H114" s="181">
        <v>0</v>
      </c>
      <c r="I114" s="181">
        <v>0</v>
      </c>
      <c r="J114" s="392">
        <f t="shared" si="77"/>
        <v>0</v>
      </c>
      <c r="K114" s="181"/>
      <c r="L114" s="181"/>
      <c r="M114" s="181"/>
      <c r="N114" s="181"/>
      <c r="O114" s="181"/>
      <c r="P114" s="181"/>
      <c r="Q114" s="181"/>
      <c r="R114" s="82" t="s">
        <v>104</v>
      </c>
    </row>
    <row r="115" spans="1:18">
      <c r="A115" s="179" t="str">
        <f t="shared" si="75"/>
        <v>ANL / Combined (ref)</v>
      </c>
      <c r="B115" s="181">
        <v>0</v>
      </c>
      <c r="C115" s="181">
        <v>0</v>
      </c>
      <c r="D115" s="180">
        <v>4.6602839400000002</v>
      </c>
      <c r="E115" s="181">
        <f>Lifetime_mileage/D115 * AER!$H$27 / SUMMARY!$B$50</f>
        <v>36576.000013970275</v>
      </c>
      <c r="F115" s="182">
        <v>0</v>
      </c>
      <c r="G115" s="181">
        <f t="shared" si="76"/>
        <v>0</v>
      </c>
      <c r="H115" s="181">
        <v>0</v>
      </c>
      <c r="I115" s="181">
        <v>0</v>
      </c>
      <c r="J115" s="392">
        <f t="shared" si="77"/>
        <v>0</v>
      </c>
      <c r="K115" s="181"/>
      <c r="L115" s="181"/>
      <c r="M115" s="181"/>
      <c r="N115" s="181"/>
      <c r="O115" s="181"/>
      <c r="P115" s="181"/>
      <c r="Q115" s="181"/>
      <c r="R115" s="82" t="s">
        <v>90</v>
      </c>
    </row>
    <row r="116" spans="1:18">
      <c r="A116" s="179" t="str">
        <f t="shared" si="75"/>
        <v>NRC (ref)</v>
      </c>
      <c r="B116" s="181">
        <v>0</v>
      </c>
      <c r="C116" s="181">
        <v>0</v>
      </c>
      <c r="D116" s="191"/>
      <c r="E116" s="181" t="e">
        <f>Lifetime_mileage/D116 * AER!$H$27 / SUMMARY!$B$50</f>
        <v>#DIV/0!</v>
      </c>
      <c r="F116" s="182">
        <v>0</v>
      </c>
      <c r="G116" s="181">
        <f t="shared" si="76"/>
        <v>0</v>
      </c>
      <c r="H116" s="181">
        <v>0</v>
      </c>
      <c r="I116" s="181">
        <v>0</v>
      </c>
      <c r="J116" s="392">
        <f t="shared" si="77"/>
        <v>0</v>
      </c>
      <c r="K116" s="181"/>
      <c r="L116" s="181"/>
      <c r="M116" s="181"/>
      <c r="N116" s="181"/>
      <c r="O116" s="181"/>
      <c r="P116" s="181"/>
      <c r="Q116" s="181"/>
      <c r="R116" s="82" t="s">
        <v>216</v>
      </c>
    </row>
    <row r="117" spans="1:18">
      <c r="A117" s="179" t="str">
        <f t="shared" ref="A117:A118" si="78">A39</f>
        <v>NRDC-EPRI</v>
      </c>
      <c r="B117" s="181">
        <v>0</v>
      </c>
      <c r="C117" s="181">
        <v>0</v>
      </c>
      <c r="D117" s="191"/>
      <c r="E117" s="181" t="e">
        <f>Lifetime_mileage/D117 * AER!$H$27 / SUMMARY!$B$50</f>
        <v>#DIV/0!</v>
      </c>
      <c r="F117" s="182">
        <v>0</v>
      </c>
      <c r="G117" s="181">
        <f t="shared" si="76"/>
        <v>0</v>
      </c>
      <c r="H117" s="181">
        <v>0</v>
      </c>
      <c r="I117" s="181">
        <v>0</v>
      </c>
      <c r="J117" s="392">
        <f t="shared" si="77"/>
        <v>0</v>
      </c>
      <c r="K117" s="181"/>
      <c r="L117" s="181"/>
      <c r="M117" s="181"/>
      <c r="N117" s="181"/>
      <c r="O117" s="181"/>
      <c r="P117" s="181"/>
      <c r="Q117" s="181"/>
      <c r="R117" s="82" t="s">
        <v>88</v>
      </c>
    </row>
    <row r="118" spans="1:18">
      <c r="A118" s="73" t="str">
        <f t="shared" si="78"/>
        <v>GREET1.7 (2010)</v>
      </c>
      <c r="B118" s="68">
        <v>0</v>
      </c>
      <c r="C118" s="68">
        <v>0</v>
      </c>
      <c r="D118" s="71">
        <f>350%*B40/Units!$B$7</f>
        <v>2.4174655870445347</v>
      </c>
      <c r="E118" s="68">
        <f>Lifetime_mileage/D118 * AER!$H$27 / SUMMARY!$B$50</f>
        <v>70509.605749107737</v>
      </c>
      <c r="F118" s="123">
        <v>0</v>
      </c>
      <c r="G118" s="68">
        <f t="shared" si="76"/>
        <v>0</v>
      </c>
      <c r="H118" s="68">
        <v>0</v>
      </c>
      <c r="I118" s="68">
        <v>0</v>
      </c>
      <c r="J118" s="393">
        <f t="shared" si="77"/>
        <v>0</v>
      </c>
      <c r="K118" s="68">
        <v>0</v>
      </c>
      <c r="L118" s="68"/>
      <c r="M118" s="68">
        <v>0</v>
      </c>
      <c r="N118" s="70">
        <f>(0.0205) * Lifetime_mileage / 1000000</f>
        <v>3.075E-3</v>
      </c>
      <c r="O118" s="70">
        <f>(0.0073) * Lifetime_mileage / 1000000</f>
        <v>1.0950000000000001E-3</v>
      </c>
      <c r="P118" s="68"/>
      <c r="Q118" s="68">
        <v>0</v>
      </c>
      <c r="R118" s="82" t="s">
        <v>93</v>
      </c>
    </row>
    <row r="119" spans="1:18">
      <c r="A119" s="73" t="str">
        <f>A41</f>
        <v>GREET1.7 (2020)</v>
      </c>
      <c r="B119" s="68">
        <v>0</v>
      </c>
      <c r="C119" s="68">
        <v>0</v>
      </c>
      <c r="D119" s="71">
        <f>350%*B41/Units!$B$7</f>
        <v>2.4586139374623137</v>
      </c>
      <c r="E119" s="68">
        <f>Lifetime_mileage/D119 * AER!$H$27 / SUMMARY!$B$50</f>
        <v>69329.528665440681</v>
      </c>
      <c r="F119" s="123">
        <v>0</v>
      </c>
      <c r="G119" s="68">
        <f t="shared" si="76"/>
        <v>0</v>
      </c>
      <c r="H119" s="68">
        <v>0</v>
      </c>
      <c r="I119" s="68">
        <v>0</v>
      </c>
      <c r="J119" s="393">
        <f t="shared" si="77"/>
        <v>0</v>
      </c>
      <c r="K119" s="68">
        <v>0</v>
      </c>
      <c r="L119" s="68"/>
      <c r="M119" s="68">
        <v>0</v>
      </c>
      <c r="N119" s="70">
        <f>(0.0205) * Lifetime_mileage / 1000000</f>
        <v>3.075E-3</v>
      </c>
      <c r="O119" s="70">
        <f>(0.0073) * Lifetime_mileage / 1000000</f>
        <v>1.0950000000000001E-3</v>
      </c>
      <c r="P119" s="68"/>
      <c r="Q119" s="68">
        <v>0</v>
      </c>
      <c r="R119" s="82" t="s">
        <v>93</v>
      </c>
    </row>
    <row r="120" spans="1:18">
      <c r="A120" s="563" t="s">
        <v>389</v>
      </c>
      <c r="B120" s="565">
        <v>0</v>
      </c>
      <c r="C120" s="565">
        <v>0</v>
      </c>
      <c r="D120" s="564">
        <f>375%*B42/galgaseq_to_kWh</f>
        <v>2.7344185962964795</v>
      </c>
      <c r="E120" s="565">
        <f>Lifetime_mileage/D120 * AER!H$27 / SUMMARY!$B$50</f>
        <v>62336.668455009261</v>
      </c>
      <c r="F120" s="566">
        <v>0</v>
      </c>
      <c r="G120" s="565">
        <f t="shared" ref="G120:G123" si="79">F120*galgas_to_mtCO2</f>
        <v>0</v>
      </c>
      <c r="H120" s="565">
        <v>0</v>
      </c>
      <c r="I120" s="565">
        <v>0</v>
      </c>
      <c r="J120" s="577">
        <f t="shared" ref="J120:J123" si="80">G120+H120*CH4_to_CO2eq + I120*N2O_to_CO2eq</f>
        <v>0</v>
      </c>
      <c r="K120" s="565">
        <v>0</v>
      </c>
      <c r="L120" s="568"/>
      <c r="M120" s="565">
        <v>0</v>
      </c>
      <c r="N120" s="568">
        <f t="shared" ref="N120:N123" si="81">(0.0205) * Lifetime_mileage / 1000000</f>
        <v>3.075E-3</v>
      </c>
      <c r="O120" s="568">
        <f t="shared" ref="O120:O123" si="82">(0.0073) * Lifetime_mileage / 1000000</f>
        <v>1.0950000000000001E-3</v>
      </c>
      <c r="P120" s="568"/>
      <c r="Q120" s="565">
        <v>0</v>
      </c>
      <c r="R120" s="383" t="s">
        <v>390</v>
      </c>
    </row>
    <row r="121" spans="1:18">
      <c r="A121" s="375" t="s">
        <v>391</v>
      </c>
      <c r="B121" s="377">
        <v>0</v>
      </c>
      <c r="C121" s="377">
        <v>0</v>
      </c>
      <c r="D121" s="384">
        <f>385.5%*B43/galgaseq_to_kWh</f>
        <v>3.0823232007261958</v>
      </c>
      <c r="E121" s="377">
        <f>Lifetime_mileage/D121 * AER!H$27 / SUMMARY!$B$50</f>
        <v>55300.672367643456</v>
      </c>
      <c r="F121" s="378">
        <v>0</v>
      </c>
      <c r="G121" s="377">
        <f t="shared" si="79"/>
        <v>0</v>
      </c>
      <c r="H121" s="377">
        <v>0</v>
      </c>
      <c r="I121" s="377">
        <v>0</v>
      </c>
      <c r="J121" s="394">
        <f t="shared" si="80"/>
        <v>0</v>
      </c>
      <c r="K121" s="377">
        <v>0</v>
      </c>
      <c r="L121" s="380"/>
      <c r="M121" s="377">
        <v>0</v>
      </c>
      <c r="N121" s="380">
        <f t="shared" si="81"/>
        <v>3.075E-3</v>
      </c>
      <c r="O121" s="380">
        <f t="shared" si="82"/>
        <v>1.0950000000000001E-3</v>
      </c>
      <c r="P121" s="380"/>
      <c r="Q121" s="377">
        <v>0</v>
      </c>
      <c r="R121" s="383" t="s">
        <v>392</v>
      </c>
    </row>
    <row r="122" spans="1:18">
      <c r="A122" s="375" t="s">
        <v>393</v>
      </c>
      <c r="B122" s="377">
        <v>0</v>
      </c>
      <c r="C122" s="377">
        <v>0</v>
      </c>
      <c r="D122" s="384">
        <f>400%*B44/galgaseq_to_kWh</f>
        <v>3.4620991585992456</v>
      </c>
      <c r="E122" s="377">
        <f>Lifetime_mileage/D122 * AER!H$27 / SUMMARY!$B$50</f>
        <v>49234.449288133859</v>
      </c>
      <c r="F122" s="378">
        <v>0</v>
      </c>
      <c r="G122" s="377">
        <f t="shared" si="79"/>
        <v>0</v>
      </c>
      <c r="H122" s="377">
        <v>0</v>
      </c>
      <c r="I122" s="377">
        <v>0</v>
      </c>
      <c r="J122" s="394">
        <f t="shared" si="80"/>
        <v>0</v>
      </c>
      <c r="K122" s="377">
        <v>0</v>
      </c>
      <c r="L122" s="380"/>
      <c r="M122" s="377">
        <v>0</v>
      </c>
      <c r="N122" s="380">
        <f t="shared" si="81"/>
        <v>3.075E-3</v>
      </c>
      <c r="O122" s="380">
        <f t="shared" si="82"/>
        <v>1.0950000000000001E-3</v>
      </c>
      <c r="P122" s="380"/>
      <c r="Q122" s="377">
        <v>0</v>
      </c>
      <c r="R122" s="383" t="s">
        <v>394</v>
      </c>
    </row>
    <row r="123" spans="1:18">
      <c r="A123" s="375" t="s">
        <v>395</v>
      </c>
      <c r="B123" s="386">
        <v>0</v>
      </c>
      <c r="C123" s="386">
        <v>0</v>
      </c>
      <c r="D123" s="384">
        <f>1/343.13*1000</f>
        <v>2.9143473319150175</v>
      </c>
      <c r="E123" s="377">
        <f>Lifetime_mileage/D123 * AER!H$27 / SUMMARY!$B$50</f>
        <v>58488.068181818184</v>
      </c>
      <c r="F123" s="378">
        <v>0</v>
      </c>
      <c r="G123" s="377">
        <f t="shared" si="79"/>
        <v>0</v>
      </c>
      <c r="H123" s="377">
        <v>0</v>
      </c>
      <c r="I123" s="377">
        <v>0</v>
      </c>
      <c r="J123" s="394">
        <f t="shared" si="80"/>
        <v>0</v>
      </c>
      <c r="K123" s="377">
        <v>0</v>
      </c>
      <c r="L123" s="380"/>
      <c r="M123" s="377">
        <v>0</v>
      </c>
      <c r="N123" s="380">
        <f t="shared" si="81"/>
        <v>3.075E-3</v>
      </c>
      <c r="O123" s="380">
        <f t="shared" si="82"/>
        <v>1.0950000000000001E-3</v>
      </c>
      <c r="P123" s="380"/>
      <c r="Q123" s="377">
        <v>0</v>
      </c>
      <c r="R123" s="383"/>
    </row>
    <row r="124" spans="1:18" s="84" customFormat="1">
      <c r="A124" s="63" t="str">
        <f t="shared" ref="A124" si="83">A46</f>
        <v>GREET1.8d (2010)</v>
      </c>
      <c r="B124" s="74">
        <f t="array" ref="B124">SUM(IF($A124=$A110:$A123,B110:B123))</f>
        <v>0</v>
      </c>
      <c r="C124" s="74">
        <f t="array" ref="C124">SUM(IF($A124=$A110:$A123,C110:C123))</f>
        <v>0</v>
      </c>
      <c r="D124" s="74">
        <f t="array" ref="D124">SUM(IF($A124=$A110:$A123,D110:D123))</f>
        <v>2.7344185962964795</v>
      </c>
      <c r="E124" s="75">
        <f t="array" ref="E124">SUM(IF($A124=$A110:$A123,E110:E123))</f>
        <v>62336.668455009261</v>
      </c>
      <c r="F124" s="124">
        <f t="array" ref="F124">SUM(IF($A124=$A110:$A123,F110:F123))</f>
        <v>0</v>
      </c>
      <c r="G124" s="75">
        <f t="array" ref="G124">SUM(IF($A124=$A110:$A123,G110:G123))</f>
        <v>0</v>
      </c>
      <c r="H124" s="75">
        <f t="array" ref="H124">SUM(IF($A124=$A110:$A123,H110:H123))</f>
        <v>0</v>
      </c>
      <c r="I124" s="75">
        <f t="array" ref="I124">SUM(IF($A124=$A110:$A123,I110:I123))</f>
        <v>0</v>
      </c>
      <c r="J124" s="124">
        <f t="array" ref="J124">SUM(IF($A124=$A110:$A123,J110:J123))</f>
        <v>0</v>
      </c>
      <c r="K124" s="77">
        <f t="array" ref="K124">SUM(IF($A124=$A110:$A123,K110:K123))</f>
        <v>0</v>
      </c>
      <c r="L124" s="77">
        <f t="array" ref="L124">SUM(IF($A124=$A110:$A123,L110:L123))</f>
        <v>0</v>
      </c>
      <c r="M124" s="77">
        <f t="array" ref="M124">SUM(IF($A124=$A110:$A123,M110:M123))</f>
        <v>0</v>
      </c>
      <c r="N124" s="77">
        <f t="array" ref="N124">SUM(IF($A124=$A110:$A123,N110:N123))</f>
        <v>3.075E-3</v>
      </c>
      <c r="O124" s="77">
        <f t="array" ref="O124">SUM(IF($A124=$A110:$A123,O110:O123))</f>
        <v>1.0950000000000001E-3</v>
      </c>
      <c r="P124" s="77">
        <f t="array" ref="P124">SUM(IF($A124=$A110:$A123,P110:P123))</f>
        <v>0</v>
      </c>
      <c r="Q124" s="78">
        <f t="array" ref="Q124">SUM(IF($A124=$A110:$A123,Q110:Q123))</f>
        <v>0</v>
      </c>
    </row>
  </sheetData>
  <mergeCells count="4">
    <mergeCell ref="G26:J26"/>
    <mergeCell ref="K26:Q26"/>
    <mergeCell ref="B26:F26"/>
    <mergeCell ref="N4:O4"/>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dimension ref="A1:AQ145"/>
  <sheetViews>
    <sheetView zoomScale="70" zoomScaleNormal="70" workbookViewId="0"/>
  </sheetViews>
  <sheetFormatPr defaultRowHeight="15"/>
  <cols>
    <col min="1" max="1" width="9.7109375" customWidth="1"/>
    <col min="2" max="2" width="13.7109375" customWidth="1"/>
    <col min="3" max="3" width="10" customWidth="1"/>
    <col min="4" max="4" width="24.140625" bestFit="1" customWidth="1"/>
    <col min="5" max="11" width="10" customWidth="1"/>
    <col min="12" max="12" width="10.140625" style="143" customWidth="1"/>
    <col min="13" max="15" width="10.140625" customWidth="1"/>
    <col min="16" max="22" width="10.5703125" bestFit="1" customWidth="1"/>
    <col min="24" max="24" width="11.28515625" bestFit="1" customWidth="1"/>
    <col min="27" max="30" width="11.28515625" bestFit="1" customWidth="1"/>
    <col min="33" max="40" width="11.28515625" bestFit="1" customWidth="1"/>
  </cols>
  <sheetData>
    <row r="1" spans="1:14" ht="23.25">
      <c r="A1" s="59" t="s">
        <v>58</v>
      </c>
      <c r="C1" s="471"/>
      <c r="L1" s="142"/>
    </row>
    <row r="2" spans="1:14">
      <c r="L2" s="142"/>
    </row>
    <row r="3" spans="1:14">
      <c r="L3" s="142"/>
    </row>
    <row r="4" spans="1:14" ht="15.75" thickBot="1">
      <c r="A4" s="18" t="s">
        <v>422</v>
      </c>
      <c r="E4" s="517" t="s">
        <v>59</v>
      </c>
      <c r="F4" s="46" t="s">
        <v>54</v>
      </c>
      <c r="G4" s="518" t="s">
        <v>2</v>
      </c>
      <c r="H4" s="518" t="s">
        <v>43</v>
      </c>
      <c r="I4" s="518" t="s">
        <v>25</v>
      </c>
      <c r="J4" s="518" t="s">
        <v>26</v>
      </c>
      <c r="K4" s="518" t="s">
        <v>27</v>
      </c>
      <c r="L4" s="518" t="s">
        <v>39</v>
      </c>
      <c r="M4" s="519" t="s">
        <v>3</v>
      </c>
      <c r="N4" s="542" t="s">
        <v>386</v>
      </c>
    </row>
    <row r="5" spans="1:14" ht="15.75" thickTop="1">
      <c r="B5" s="932" t="s">
        <v>399</v>
      </c>
      <c r="C5" s="932"/>
      <c r="D5" s="932"/>
      <c r="E5" s="33"/>
      <c r="F5" s="33">
        <f t="shared" ref="F5:M5" si="0">X55</f>
        <v>5.758410542718907E-4</v>
      </c>
      <c r="G5" s="33">
        <f t="shared" si="0"/>
        <v>0</v>
      </c>
      <c r="H5" s="33">
        <f t="shared" si="0"/>
        <v>0</v>
      </c>
      <c r="I5" s="33">
        <f t="shared" si="0"/>
        <v>8.718856035118071E-7</v>
      </c>
      <c r="J5" s="33">
        <f t="shared" si="0"/>
        <v>1.4343866084981127E-7</v>
      </c>
      <c r="K5" s="33">
        <f t="shared" si="0"/>
        <v>1.1904916889461669E-7</v>
      </c>
      <c r="L5" s="33">
        <f t="shared" si="0"/>
        <v>2.3918594774326909E-6</v>
      </c>
      <c r="M5" s="33">
        <f t="shared" si="0"/>
        <v>0</v>
      </c>
    </row>
    <row r="6" spans="1:14">
      <c r="B6" s="932" t="s">
        <v>436</v>
      </c>
      <c r="C6" s="932"/>
      <c r="D6" s="932"/>
      <c r="E6" s="538"/>
      <c r="F6" s="538">
        <f t="shared" ref="F6:M6" si="1">F55</f>
        <v>2.4030837921971526E-2</v>
      </c>
      <c r="G6" s="538">
        <f t="shared" si="1"/>
        <v>0</v>
      </c>
      <c r="H6" s="538">
        <f t="shared" si="1"/>
        <v>0</v>
      </c>
      <c r="I6" s="538">
        <f t="shared" si="1"/>
        <v>1.3688242521230111E-3</v>
      </c>
      <c r="J6" s="538">
        <f t="shared" si="1"/>
        <v>6.8075759159203628E-5</v>
      </c>
      <c r="K6" s="538">
        <f t="shared" si="1"/>
        <v>1.2004725247417203E-3</v>
      </c>
      <c r="L6" s="538">
        <f t="shared" si="1"/>
        <v>1.550353894159427E-2</v>
      </c>
      <c r="M6" s="538">
        <f t="shared" si="1"/>
        <v>0</v>
      </c>
      <c r="N6" s="543">
        <f>SUM(E6:M6)</f>
        <v>4.2171749399589731E-2</v>
      </c>
    </row>
    <row r="7" spans="1:14">
      <c r="B7" s="932" t="s">
        <v>400</v>
      </c>
      <c r="C7" s="932"/>
      <c r="D7" s="932"/>
      <c r="E7" s="33"/>
      <c r="F7" s="33">
        <f t="shared" ref="F7:M7" si="2">AG55</f>
        <v>3.7105024125135569E-5</v>
      </c>
      <c r="G7" s="33">
        <f t="shared" si="2"/>
        <v>2.3820301640917946E-8</v>
      </c>
      <c r="H7" s="33">
        <f t="shared" si="2"/>
        <v>0</v>
      </c>
      <c r="I7" s="33">
        <f t="shared" si="2"/>
        <v>1.0635493504255254E-7</v>
      </c>
      <c r="J7" s="33">
        <f t="shared" si="2"/>
        <v>9.2421636729878087E-7</v>
      </c>
      <c r="K7" s="33">
        <f t="shared" si="2"/>
        <v>2.3043135781501566E-7</v>
      </c>
      <c r="L7" s="33">
        <f t="shared" si="2"/>
        <v>5.3120522929556174E-8</v>
      </c>
      <c r="M7" s="33">
        <f t="shared" si="2"/>
        <v>4.8735392492410717E-8</v>
      </c>
    </row>
    <row r="8" spans="1:14">
      <c r="B8" s="932" t="s">
        <v>460</v>
      </c>
      <c r="C8" s="932"/>
      <c r="D8" s="932"/>
      <c r="E8" s="538"/>
      <c r="F8" s="538">
        <f t="shared" ref="F8:M8" si="3">O55</f>
        <v>1.5484564954637043E-3</v>
      </c>
      <c r="G8" s="538">
        <f t="shared" si="3"/>
        <v>1.0453645766968148E-6</v>
      </c>
      <c r="H8" s="538">
        <f t="shared" si="3"/>
        <v>0</v>
      </c>
      <c r="I8" s="538">
        <f t="shared" si="3"/>
        <v>7.747356227801562E-5</v>
      </c>
      <c r="J8" s="538">
        <f t="shared" si="3"/>
        <v>5.4751910108563975E-4</v>
      </c>
      <c r="K8" s="538">
        <f t="shared" si="3"/>
        <v>5.2780138071802432E-4</v>
      </c>
      <c r="L8" s="538">
        <f t="shared" si="3"/>
        <v>1.2508323117053156E-4</v>
      </c>
      <c r="M8" s="538">
        <f t="shared" si="3"/>
        <v>1.0900324077016369E-5</v>
      </c>
      <c r="N8" s="543">
        <f>SUM(E8:M8)</f>
        <v>2.8382794593696291E-3</v>
      </c>
    </row>
    <row r="9" spans="1:14">
      <c r="B9" s="932" t="s">
        <v>469</v>
      </c>
      <c r="C9" s="932"/>
      <c r="D9" s="932"/>
      <c r="E9" s="33"/>
      <c r="F9" s="33">
        <f t="shared" ref="F9:M9" si="4">F5+F7</f>
        <v>6.1294607839702624E-4</v>
      </c>
      <c r="G9" s="33">
        <f t="shared" si="4"/>
        <v>2.3820301640917946E-8</v>
      </c>
      <c r="H9" s="33">
        <f t="shared" si="4"/>
        <v>0</v>
      </c>
      <c r="I9" s="33">
        <f t="shared" si="4"/>
        <v>9.7824053855435966E-7</v>
      </c>
      <c r="J9" s="33">
        <f t="shared" si="4"/>
        <v>1.0676550281485921E-6</v>
      </c>
      <c r="K9" s="33">
        <f t="shared" si="4"/>
        <v>3.4948052670963232E-7</v>
      </c>
      <c r="L9" s="33">
        <f t="shared" si="4"/>
        <v>2.4449800003622469E-6</v>
      </c>
      <c r="M9" s="33">
        <f t="shared" si="4"/>
        <v>4.8735392492410717E-8</v>
      </c>
    </row>
    <row r="10" spans="1:14">
      <c r="B10" s="932" t="s">
        <v>470</v>
      </c>
      <c r="C10" s="932"/>
      <c r="D10" s="932"/>
      <c r="E10" s="538"/>
      <c r="F10" s="538">
        <f t="shared" ref="F10:M10" si="5">F6+F8</f>
        <v>2.5579294417435231E-2</v>
      </c>
      <c r="G10" s="538">
        <f t="shared" si="5"/>
        <v>1.0453645766968148E-6</v>
      </c>
      <c r="H10" s="538">
        <f t="shared" si="5"/>
        <v>0</v>
      </c>
      <c r="I10" s="538">
        <f t="shared" si="5"/>
        <v>1.4462978144010267E-3</v>
      </c>
      <c r="J10" s="538">
        <f t="shared" si="5"/>
        <v>6.1559486024484336E-4</v>
      </c>
      <c r="K10" s="538">
        <f t="shared" si="5"/>
        <v>1.7282739054597447E-3</v>
      </c>
      <c r="L10" s="538">
        <f t="shared" si="5"/>
        <v>1.5628622172764801E-2</v>
      </c>
      <c r="M10" s="538">
        <f t="shared" si="5"/>
        <v>1.0900324077016369E-5</v>
      </c>
      <c r="N10" s="543">
        <f>SUM(E10:M10)</f>
        <v>4.5010028858959363E-2</v>
      </c>
    </row>
    <row r="11" spans="1:14">
      <c r="L11" s="142"/>
    </row>
    <row r="12" spans="1:14">
      <c r="L12" s="142"/>
    </row>
    <row r="13" spans="1:14">
      <c r="B13" s="486" t="s">
        <v>659</v>
      </c>
      <c r="C13" s="484"/>
      <c r="D13" s="484"/>
      <c r="E13" s="484"/>
      <c r="F13" s="484"/>
      <c r="G13" s="484"/>
      <c r="H13" s="484"/>
      <c r="I13" s="484"/>
      <c r="J13" s="484"/>
      <c r="K13" s="484"/>
      <c r="L13" s="484"/>
      <c r="M13" s="484"/>
    </row>
    <row r="14" spans="1:14">
      <c r="B14" s="487"/>
      <c r="C14" s="487" t="s">
        <v>626</v>
      </c>
      <c r="D14" s="487" t="s">
        <v>593</v>
      </c>
      <c r="E14" s="487" t="s">
        <v>625</v>
      </c>
      <c r="F14" s="487" t="s">
        <v>15</v>
      </c>
      <c r="G14" s="488" t="s">
        <v>2</v>
      </c>
      <c r="H14" s="488" t="s">
        <v>43</v>
      </c>
      <c r="I14" s="488" t="s">
        <v>25</v>
      </c>
      <c r="J14" s="488" t="s">
        <v>26</v>
      </c>
      <c r="K14" s="488" t="s">
        <v>27</v>
      </c>
      <c r="L14" s="488" t="s">
        <v>39</v>
      </c>
      <c r="M14" s="488" t="s">
        <v>3</v>
      </c>
    </row>
    <row r="15" spans="1:14">
      <c r="B15" s="484" t="s">
        <v>8</v>
      </c>
      <c r="C15" s="485"/>
      <c r="D15" s="485"/>
      <c r="E15" s="485"/>
      <c r="F15" s="485">
        <f>F$10*Vehicle!$E$46 / Vehicle_life * P_given_A_at_social_rate</f>
        <v>0</v>
      </c>
      <c r="G15" s="485">
        <f>G$10*Vehicle!$E$46 / Vehicle_life * P_given_A_at_social_rate</f>
        <v>0</v>
      </c>
      <c r="H15" s="485">
        <f>H$10*Vehicle!$E$46 / Vehicle_life * P_given_A_at_social_rate</f>
        <v>0</v>
      </c>
      <c r="I15" s="485">
        <f>I$10*Vehicle!$E$46 / Vehicle_life * P_given_A_at_social_rate</f>
        <v>0</v>
      </c>
      <c r="J15" s="485">
        <f>J$10*Vehicle!$E$46 / Vehicle_life * P_given_A_at_social_rate</f>
        <v>0</v>
      </c>
      <c r="K15" s="485">
        <f>K$10*Vehicle!$E$46 / Vehicle_life * P_given_A_at_social_rate</f>
        <v>0</v>
      </c>
      <c r="L15" s="485">
        <f>L$10*Vehicle!$E$46 / Vehicle_life * P_given_A_at_social_rate</f>
        <v>0</v>
      </c>
      <c r="M15" s="485">
        <f>M$10*Vehicle!$E$46 / Vehicle_life * P_given_A_at_social_rate</f>
        <v>0</v>
      </c>
    </row>
    <row r="16" spans="1:14">
      <c r="B16" s="484" t="s">
        <v>9</v>
      </c>
      <c r="C16" s="485"/>
      <c r="D16" s="485"/>
      <c r="E16" s="485"/>
      <c r="F16" s="485">
        <f>F$10*Vehicle!$E$66 / Vehicle_life * P_given_A_at_social_rate</f>
        <v>0</v>
      </c>
      <c r="G16" s="485">
        <f>G$10*Vehicle!$E$66 / Vehicle_life * P_given_A_at_social_rate</f>
        <v>0</v>
      </c>
      <c r="H16" s="485">
        <f>H$10*Vehicle!$E$66 / Vehicle_life * P_given_A_at_social_rate</f>
        <v>0</v>
      </c>
      <c r="I16" s="485">
        <f>I$10*Vehicle!$E$66 / Vehicle_life * P_given_A_at_social_rate</f>
        <v>0</v>
      </c>
      <c r="J16" s="485">
        <f>J$10*Vehicle!$E$66 / Vehicle_life * P_given_A_at_social_rate</f>
        <v>0</v>
      </c>
      <c r="K16" s="485">
        <f>K$10*Vehicle!$E$66 / Vehicle_life * P_given_A_at_social_rate</f>
        <v>0</v>
      </c>
      <c r="L16" s="485">
        <f>L$10*Vehicle!$E$66 / Vehicle_life * P_given_A_at_social_rate</f>
        <v>0</v>
      </c>
      <c r="M16" s="485">
        <f>M$10*Vehicle!$E$66 / Vehicle_life * P_given_A_at_social_rate</f>
        <v>0</v>
      </c>
    </row>
    <row r="17" spans="1:43">
      <c r="B17" s="484" t="s">
        <v>10</v>
      </c>
      <c r="C17" s="485"/>
      <c r="D17" s="485"/>
      <c r="E17" s="485"/>
      <c r="F17" s="485">
        <f>F$10*Vehicle!$E$86 / Vehicle_life * P_given_A_at_social_rate</f>
        <v>149.3217274420262</v>
      </c>
      <c r="G17" s="485">
        <f>G$10*Vehicle!$E$86 / Vehicle_life * P_given_A_at_social_rate</f>
        <v>6.102421820231043E-3</v>
      </c>
      <c r="H17" s="485">
        <f>H$10*Vehicle!$E$86 / Vehicle_life * P_given_A_at_social_rate</f>
        <v>0</v>
      </c>
      <c r="I17" s="485">
        <f>I$10*Vehicle!$E$86 / Vehicle_life * P_given_A_at_social_rate</f>
        <v>8.4429102897687525</v>
      </c>
      <c r="J17" s="485">
        <f>J$10*Vehicle!$E$86 / Vehicle_life * P_given_A_at_social_rate</f>
        <v>3.5935974791211405</v>
      </c>
      <c r="K17" s="485">
        <f>K$10*Vehicle!$E$86 / Vehicle_life * P_given_A_at_social_rate</f>
        <v>10.088974341697343</v>
      </c>
      <c r="L17" s="485">
        <f>L$10*Vehicle!$E$86 / Vehicle_life * P_given_A_at_social_rate</f>
        <v>91.233668227584616</v>
      </c>
      <c r="M17" s="485">
        <f>M$10*Vehicle!$E$86 / Vehicle_life * P_given_A_at_social_rate</f>
        <v>6.3631748174748703E-2</v>
      </c>
    </row>
    <row r="18" spans="1:43">
      <c r="B18" s="484" t="s">
        <v>11</v>
      </c>
      <c r="C18" s="485"/>
      <c r="D18" s="485"/>
      <c r="E18" s="485"/>
      <c r="F18" s="485">
        <f>F$10*Vehicle!$E$105 / Vehicle_life * P_given_A_at_social_rate</f>
        <v>438.73725401514599</v>
      </c>
      <c r="G18" s="485">
        <f>G$10*Vehicle!$E$105 / Vehicle_life * P_given_A_at_social_rate</f>
        <v>1.793014210399994E-2</v>
      </c>
      <c r="H18" s="485">
        <f>H$10*Vehicle!$E$105 / Vehicle_life * P_given_A_at_social_rate</f>
        <v>0</v>
      </c>
      <c r="I18" s="485">
        <f>I$10*Vehicle!$E$105 / Vehicle_life * P_given_A_at_social_rate</f>
        <v>24.806967745986711</v>
      </c>
      <c r="J18" s="485">
        <f>J$10*Vehicle!$E$105 / Vehicle_life * P_given_A_at_social_rate</f>
        <v>10.558711830048237</v>
      </c>
      <c r="K18" s="485">
        <f>K$10*Vehicle!$E$105 / Vehicle_life * P_given_A_at_social_rate</f>
        <v>29.643434845904128</v>
      </c>
      <c r="L18" s="485">
        <f>L$10*Vehicle!$E$105 / Vehicle_life * P_given_A_at_social_rate</f>
        <v>268.06285835020202</v>
      </c>
      <c r="M18" s="485">
        <f>M$10*Vehicle!$E$105 / Vehicle_life * P_given_A_at_social_rate</f>
        <v>0.18696286830201236</v>
      </c>
    </row>
    <row r="19" spans="1:43">
      <c r="B19" s="484" t="s">
        <v>24</v>
      </c>
      <c r="C19" s="485"/>
      <c r="D19" s="485"/>
      <c r="E19" s="485"/>
      <c r="F19" s="485">
        <f>F$10*Vehicle!$E$124 / Vehicle_life * P_given_A_at_social_rate</f>
        <v>1001.3739478001274</v>
      </c>
      <c r="G19" s="485">
        <f>G$10*Vehicle!$E$124 / Vehicle_life * P_given_A_at_social_rate</f>
        <v>4.0923757941649222E-2</v>
      </c>
      <c r="H19" s="485">
        <f>H$10*Vehicle!$E$124 / Vehicle_life * P_given_A_at_social_rate</f>
        <v>0</v>
      </c>
      <c r="I19" s="485">
        <f>I$10*Vehicle!$E$124 / Vehicle_life * P_given_A_at_social_rate</f>
        <v>56.619425401909425</v>
      </c>
      <c r="J19" s="485">
        <f>J$10*Vehicle!$E$124 / Vehicle_life * P_given_A_at_social_rate</f>
        <v>24.099204825160125</v>
      </c>
      <c r="K19" s="485">
        <f>K$10*Vehicle!$E$124 / Vehicle_life * P_given_A_at_social_rate</f>
        <v>67.658178343282728</v>
      </c>
      <c r="L19" s="485">
        <f>L$10*Vehicle!$E$124 / Vehicle_life * P_given_A_at_social_rate</f>
        <v>611.8266918711704</v>
      </c>
      <c r="M19" s="485">
        <f>M$10*Vehicle!$E$124 / Vehicle_life * P_given_A_at_social_rate</f>
        <v>0.42672406733246832</v>
      </c>
    </row>
    <row r="20" spans="1:43">
      <c r="L20" s="142"/>
    </row>
    <row r="21" spans="1:43">
      <c r="E21" s="933" t="s">
        <v>436</v>
      </c>
      <c r="F21" s="934"/>
      <c r="G21" s="934"/>
      <c r="H21" s="934"/>
      <c r="I21" s="934"/>
      <c r="J21" s="934"/>
      <c r="K21" s="934"/>
      <c r="L21" s="934"/>
      <c r="M21" s="935"/>
      <c r="N21" s="933" t="s">
        <v>460</v>
      </c>
      <c r="O21" s="934"/>
      <c r="P21" s="934"/>
      <c r="Q21" s="934"/>
      <c r="R21" s="934"/>
      <c r="S21" s="934"/>
      <c r="T21" s="934"/>
      <c r="U21" s="934"/>
      <c r="V21" s="935"/>
      <c r="W21" s="933" t="s">
        <v>399</v>
      </c>
      <c r="X21" s="934"/>
      <c r="Y21" s="934"/>
      <c r="Z21" s="934"/>
      <c r="AA21" s="934"/>
      <c r="AB21" s="934"/>
      <c r="AC21" s="934"/>
      <c r="AD21" s="934"/>
      <c r="AE21" s="935"/>
      <c r="AF21" s="933" t="s">
        <v>400</v>
      </c>
      <c r="AG21" s="934"/>
      <c r="AH21" s="934"/>
      <c r="AI21" s="934"/>
      <c r="AJ21" s="934"/>
      <c r="AK21" s="934"/>
      <c r="AL21" s="934"/>
      <c r="AM21" s="934"/>
      <c r="AN21" s="935"/>
    </row>
    <row r="22" spans="1:43" ht="15.75" thickBot="1">
      <c r="A22" s="39" t="s">
        <v>409</v>
      </c>
      <c r="B22" s="39" t="s">
        <v>431</v>
      </c>
      <c r="C22" s="39" t="s">
        <v>430</v>
      </c>
      <c r="D22" s="39" t="s">
        <v>435</v>
      </c>
      <c r="E22" s="517" t="s">
        <v>59</v>
      </c>
      <c r="F22" s="46" t="s">
        <v>54</v>
      </c>
      <c r="G22" s="518" t="s">
        <v>2</v>
      </c>
      <c r="H22" s="518" t="s">
        <v>43</v>
      </c>
      <c r="I22" s="518" t="s">
        <v>25</v>
      </c>
      <c r="J22" s="518" t="s">
        <v>26</v>
      </c>
      <c r="K22" s="518" t="s">
        <v>27</v>
      </c>
      <c r="L22" s="518" t="s">
        <v>39</v>
      </c>
      <c r="M22" s="519" t="s">
        <v>3</v>
      </c>
      <c r="N22" s="517" t="s">
        <v>59</v>
      </c>
      <c r="O22" s="46" t="s">
        <v>54</v>
      </c>
      <c r="P22" s="518" t="s">
        <v>2</v>
      </c>
      <c r="Q22" s="518" t="s">
        <v>43</v>
      </c>
      <c r="R22" s="518" t="s">
        <v>25</v>
      </c>
      <c r="S22" s="518" t="s">
        <v>26</v>
      </c>
      <c r="T22" s="518" t="s">
        <v>27</v>
      </c>
      <c r="U22" s="518" t="s">
        <v>39</v>
      </c>
      <c r="V22" s="519" t="s">
        <v>3</v>
      </c>
      <c r="W22" s="517" t="s">
        <v>59</v>
      </c>
      <c r="X22" s="46" t="s">
        <v>54</v>
      </c>
      <c r="Y22" s="518" t="s">
        <v>2</v>
      </c>
      <c r="Z22" s="518" t="s">
        <v>43</v>
      </c>
      <c r="AA22" s="518" t="s">
        <v>25</v>
      </c>
      <c r="AB22" s="518" t="s">
        <v>26</v>
      </c>
      <c r="AC22" s="518" t="s">
        <v>27</v>
      </c>
      <c r="AD22" s="518" t="s">
        <v>39</v>
      </c>
      <c r="AE22" s="519" t="s">
        <v>3</v>
      </c>
      <c r="AF22" s="517" t="s">
        <v>59</v>
      </c>
      <c r="AG22" s="46" t="s">
        <v>54</v>
      </c>
      <c r="AH22" s="518" t="s">
        <v>2</v>
      </c>
      <c r="AI22" s="518" t="s">
        <v>43</v>
      </c>
      <c r="AJ22" s="518" t="s">
        <v>25</v>
      </c>
      <c r="AK22" s="518" t="s">
        <v>26</v>
      </c>
      <c r="AL22" s="518" t="s">
        <v>27</v>
      </c>
      <c r="AM22" s="518" t="s">
        <v>39</v>
      </c>
      <c r="AN22" s="519" t="s">
        <v>3</v>
      </c>
    </row>
    <row r="23" spans="1:43" ht="15.75" thickTop="1">
      <c r="A23" t="b">
        <f>AND(IF(B23=B$55,TRUE,FALSE),IF(C23=C$55,TRUE,FALSE),IF(D23=D$55,TRUE,FALSE))</f>
        <v>0</v>
      </c>
      <c r="B23" t="s">
        <v>432</v>
      </c>
      <c r="C23" t="s">
        <v>74</v>
      </c>
      <c r="D23" t="s">
        <v>432</v>
      </c>
      <c r="E23" s="529"/>
      <c r="F23" s="530">
        <f t="shared" ref="F23:F54" si="6">F75*USD_BaseYear/USD_2000/1000</f>
        <v>0</v>
      </c>
      <c r="G23" s="530"/>
      <c r="H23" s="530"/>
      <c r="I23" s="530">
        <f t="shared" ref="I23:L54" si="7">I75*USD_BaseYear/USD_2000/1000</f>
        <v>0</v>
      </c>
      <c r="J23" s="530">
        <f t="shared" si="7"/>
        <v>0</v>
      </c>
      <c r="K23" s="530">
        <f t="shared" si="7"/>
        <v>0</v>
      </c>
      <c r="L23" s="531">
        <f t="shared" si="7"/>
        <v>0</v>
      </c>
      <c r="M23" s="532"/>
      <c r="N23" s="529"/>
      <c r="O23" s="530">
        <f t="shared" ref="O23:V32" si="8">O75*USD_BaseYear/USD_2000/1000</f>
        <v>0</v>
      </c>
      <c r="P23" s="530">
        <f t="shared" si="8"/>
        <v>0</v>
      </c>
      <c r="Q23" s="530">
        <f t="shared" si="8"/>
        <v>0</v>
      </c>
      <c r="R23" s="530">
        <f t="shared" si="8"/>
        <v>0</v>
      </c>
      <c r="S23" s="530">
        <f t="shared" si="8"/>
        <v>0</v>
      </c>
      <c r="T23" s="530">
        <f t="shared" si="8"/>
        <v>0</v>
      </c>
      <c r="U23" s="530">
        <f t="shared" si="8"/>
        <v>0</v>
      </c>
      <c r="V23" s="532">
        <f t="shared" si="8"/>
        <v>0</v>
      </c>
      <c r="W23" s="509"/>
      <c r="X23" s="527">
        <f t="shared" ref="X23:X54" si="9">X75*lb_to_mt/1000</f>
        <v>0</v>
      </c>
      <c r="Y23" s="510"/>
      <c r="Z23" s="510"/>
      <c r="AA23" s="510">
        <f t="shared" ref="AA23:AD54" si="10">AA75*lb_to_mt/1000</f>
        <v>0</v>
      </c>
      <c r="AB23" s="510">
        <f t="shared" si="10"/>
        <v>0</v>
      </c>
      <c r="AC23" s="510">
        <f t="shared" si="10"/>
        <v>0</v>
      </c>
      <c r="AD23" s="511">
        <f t="shared" si="10"/>
        <v>0</v>
      </c>
      <c r="AE23" s="512"/>
      <c r="AF23" s="509"/>
      <c r="AG23" s="510">
        <f t="shared" ref="AG23:AN32" si="11">AG75*lb_to_mt/1000</f>
        <v>0</v>
      </c>
      <c r="AH23" s="510">
        <f t="shared" si="11"/>
        <v>0</v>
      </c>
      <c r="AI23" s="510">
        <f t="shared" si="11"/>
        <v>0</v>
      </c>
      <c r="AJ23" s="510">
        <f t="shared" si="11"/>
        <v>0</v>
      </c>
      <c r="AK23" s="510">
        <f t="shared" si="11"/>
        <v>0</v>
      </c>
      <c r="AL23" s="510">
        <f t="shared" si="11"/>
        <v>0</v>
      </c>
      <c r="AM23" s="510">
        <f t="shared" si="11"/>
        <v>0</v>
      </c>
      <c r="AN23" s="512">
        <f t="shared" si="11"/>
        <v>0</v>
      </c>
      <c r="AQ23" s="828"/>
    </row>
    <row r="24" spans="1:43">
      <c r="A24" t="b">
        <f t="shared" ref="A24:A54" si="12">AND(IF(B24=B$55,TRUE,FALSE),IF(C24=C$55,TRUE,FALSE),IF(D24=D$55,TRUE,FALSE))</f>
        <v>0</v>
      </c>
      <c r="B24" t="s">
        <v>432</v>
      </c>
      <c r="C24" t="s">
        <v>74</v>
      </c>
      <c r="D24" t="s">
        <v>96</v>
      </c>
      <c r="E24" s="529"/>
      <c r="F24" s="530">
        <f t="shared" si="6"/>
        <v>0</v>
      </c>
      <c r="G24" s="530"/>
      <c r="H24" s="530"/>
      <c r="I24" s="530">
        <f t="shared" si="7"/>
        <v>1.4999490503556335E-3</v>
      </c>
      <c r="J24" s="530">
        <f t="shared" si="7"/>
        <v>8.7326655238149231E-5</v>
      </c>
      <c r="K24" s="530">
        <f t="shared" si="7"/>
        <v>1.2811276664294936E-3</v>
      </c>
      <c r="L24" s="531">
        <f t="shared" si="7"/>
        <v>2.5924153621828643E-3</v>
      </c>
      <c r="M24" s="532"/>
      <c r="N24" s="529"/>
      <c r="O24" s="530">
        <f t="shared" si="8"/>
        <v>0</v>
      </c>
      <c r="P24" s="530">
        <f t="shared" si="8"/>
        <v>1.1309272744921675E-6</v>
      </c>
      <c r="Q24" s="530">
        <f t="shared" si="8"/>
        <v>0</v>
      </c>
      <c r="R24" s="530">
        <f t="shared" si="8"/>
        <v>1.0290683928699676E-4</v>
      </c>
      <c r="S24" s="530">
        <f t="shared" si="8"/>
        <v>9.611192445554452E-4</v>
      </c>
      <c r="T24" s="530">
        <f t="shared" si="8"/>
        <v>9.2481116743243033E-4</v>
      </c>
      <c r="U24" s="530">
        <f t="shared" si="8"/>
        <v>1.3852118769046211E-4</v>
      </c>
      <c r="V24" s="532">
        <f t="shared" si="8"/>
        <v>1.6224167605962616E-5</v>
      </c>
      <c r="W24" s="509"/>
      <c r="X24" s="527">
        <f t="shared" si="9"/>
        <v>8.9491371747505929E-4</v>
      </c>
      <c r="Y24" s="510"/>
      <c r="Z24" s="510"/>
      <c r="AA24" s="510">
        <f t="shared" si="10"/>
        <v>1.34793636359767E-6</v>
      </c>
      <c r="AB24" s="510">
        <f t="shared" si="10"/>
        <v>1.88005101595311E-7</v>
      </c>
      <c r="AC24" s="510">
        <f t="shared" si="10"/>
        <v>1.2809516567655502E-7</v>
      </c>
      <c r="AD24" s="511">
        <f t="shared" si="10"/>
        <v>3.2853554745465298E-7</v>
      </c>
      <c r="AE24" s="512"/>
      <c r="AF24" s="509"/>
      <c r="AG24" s="510">
        <f t="shared" si="11"/>
        <v>4.4349178198419825E-5</v>
      </c>
      <c r="AH24" s="510">
        <f t="shared" si="11"/>
        <v>2.5028481489660015E-8</v>
      </c>
      <c r="AI24" s="510">
        <f t="shared" si="11"/>
        <v>0</v>
      </c>
      <c r="AJ24" s="510">
        <f t="shared" si="11"/>
        <v>1.3882316426978765E-7</v>
      </c>
      <c r="AK24" s="510">
        <f t="shared" si="11"/>
        <v>1.6222510539211442E-6</v>
      </c>
      <c r="AL24" s="510">
        <f t="shared" si="11"/>
        <v>4.0383068516486081E-7</v>
      </c>
      <c r="AM24" s="510">
        <f t="shared" si="11"/>
        <v>6.8391486175707386E-8</v>
      </c>
      <c r="AN24" s="512">
        <f t="shared" si="11"/>
        <v>7.3225432759589753E-8</v>
      </c>
      <c r="AQ24" s="828"/>
    </row>
    <row r="25" spans="1:43">
      <c r="A25" t="b">
        <f t="shared" si="12"/>
        <v>0</v>
      </c>
      <c r="B25" t="s">
        <v>432</v>
      </c>
      <c r="C25" t="s">
        <v>74</v>
      </c>
      <c r="D25" t="s">
        <v>50</v>
      </c>
      <c r="E25" s="529"/>
      <c r="F25" s="530">
        <f t="shared" si="6"/>
        <v>0</v>
      </c>
      <c r="G25" s="530"/>
      <c r="H25" s="530"/>
      <c r="I25" s="530">
        <f t="shared" si="7"/>
        <v>4.0427705756744979E-3</v>
      </c>
      <c r="J25" s="530">
        <f t="shared" si="7"/>
        <v>2.1339505055291031E-4</v>
      </c>
      <c r="K25" s="530">
        <f t="shared" si="7"/>
        <v>3.7823057835388542E-3</v>
      </c>
      <c r="L25" s="531">
        <f t="shared" si="7"/>
        <v>7.3876593334823479E-2</v>
      </c>
      <c r="M25" s="532"/>
      <c r="N25" s="529"/>
      <c r="O25" s="530">
        <f t="shared" si="8"/>
        <v>0</v>
      </c>
      <c r="P25" s="530">
        <f t="shared" si="8"/>
        <v>1.1333516858076203E-6</v>
      </c>
      <c r="Q25" s="530">
        <f t="shared" si="8"/>
        <v>0</v>
      </c>
      <c r="R25" s="530">
        <f t="shared" si="8"/>
        <v>1.0312744454715099E-4</v>
      </c>
      <c r="S25" s="530">
        <f t="shared" si="8"/>
        <v>9.6317963201320283E-4</v>
      </c>
      <c r="T25" s="530">
        <f t="shared" si="8"/>
        <v>9.2679371990026004E-4</v>
      </c>
      <c r="U25" s="530">
        <f t="shared" si="8"/>
        <v>1.3881814076820755E-4</v>
      </c>
      <c r="V25" s="532">
        <f t="shared" si="8"/>
        <v>1.6258947964005849E-5</v>
      </c>
      <c r="W25" s="509"/>
      <c r="X25" s="527">
        <f t="shared" si="9"/>
        <v>8.9683242550529991E-4</v>
      </c>
      <c r="Y25" s="510"/>
      <c r="Z25" s="510"/>
      <c r="AA25" s="510">
        <f t="shared" si="10"/>
        <v>2.0792828462205796E-6</v>
      </c>
      <c r="AB25" s="510">
        <f t="shared" si="10"/>
        <v>5.7000413020628005E-7</v>
      </c>
      <c r="AC25" s="510">
        <f t="shared" si="10"/>
        <v>4.9929769797830997E-7</v>
      </c>
      <c r="AD25" s="511">
        <f t="shared" si="10"/>
        <v>1.16265113793059E-5</v>
      </c>
      <c r="AE25" s="512"/>
      <c r="AF25" s="509"/>
      <c r="AG25" s="510">
        <f t="shared" si="11"/>
        <v>4.4444251199027721E-5</v>
      </c>
      <c r="AH25" s="510">
        <f t="shared" si="11"/>
        <v>2.5082135986373235E-8</v>
      </c>
      <c r="AI25" s="510">
        <f t="shared" si="11"/>
        <v>0</v>
      </c>
      <c r="AJ25" s="510">
        <f t="shared" si="11"/>
        <v>1.39120764706079E-7</v>
      </c>
      <c r="AK25" s="510">
        <f t="shared" si="11"/>
        <v>1.6257287344938384E-6</v>
      </c>
      <c r="AL25" s="510">
        <f t="shared" si="11"/>
        <v>4.0469639218663217E-7</v>
      </c>
      <c r="AM25" s="510">
        <f t="shared" si="11"/>
        <v>6.8538099575794909E-8</v>
      </c>
      <c r="AN25" s="512">
        <f t="shared" si="11"/>
        <v>7.3382408872700983E-8</v>
      </c>
      <c r="AQ25" s="828"/>
    </row>
    <row r="26" spans="1:43">
      <c r="A26" t="b">
        <f t="shared" si="12"/>
        <v>0</v>
      </c>
      <c r="B26" t="s">
        <v>432</v>
      </c>
      <c r="C26" t="s">
        <v>74</v>
      </c>
      <c r="D26" t="s">
        <v>434</v>
      </c>
      <c r="E26" s="529"/>
      <c r="F26" s="530">
        <f t="shared" si="6"/>
        <v>0</v>
      </c>
      <c r="G26" s="530"/>
      <c r="H26" s="530"/>
      <c r="I26" s="530">
        <f t="shared" si="7"/>
        <v>1.3688242521230111E-3</v>
      </c>
      <c r="J26" s="530">
        <f t="shared" si="7"/>
        <v>6.8075759159203628E-5</v>
      </c>
      <c r="K26" s="530">
        <f t="shared" si="7"/>
        <v>1.2004725247417199E-3</v>
      </c>
      <c r="L26" s="531">
        <f t="shared" si="7"/>
        <v>1.5503538941594262E-2</v>
      </c>
      <c r="M26" s="532"/>
      <c r="N26" s="529"/>
      <c r="O26" s="530">
        <f t="shared" si="8"/>
        <v>0</v>
      </c>
      <c r="P26" s="530">
        <f t="shared" si="8"/>
        <v>1.045364576696814E-6</v>
      </c>
      <c r="Q26" s="530">
        <f t="shared" si="8"/>
        <v>0</v>
      </c>
      <c r="R26" s="530">
        <f t="shared" si="8"/>
        <v>7.7473562278015538E-5</v>
      </c>
      <c r="S26" s="530">
        <f t="shared" si="8"/>
        <v>5.4751910108563986E-4</v>
      </c>
      <c r="T26" s="530">
        <f t="shared" si="8"/>
        <v>5.2780138071802422E-4</v>
      </c>
      <c r="U26" s="530">
        <f t="shared" si="8"/>
        <v>1.2508323117053151E-4</v>
      </c>
      <c r="V26" s="532">
        <f t="shared" si="8"/>
        <v>1.0900324077016368E-5</v>
      </c>
      <c r="W26" s="509"/>
      <c r="X26" s="527">
        <f t="shared" si="9"/>
        <v>5.7584105427189059E-4</v>
      </c>
      <c r="Y26" s="510"/>
      <c r="Z26" s="510"/>
      <c r="AA26" s="510">
        <f t="shared" si="10"/>
        <v>8.7188560351180721E-7</v>
      </c>
      <c r="AB26" s="510">
        <f t="shared" si="10"/>
        <v>1.4343866084981122E-7</v>
      </c>
      <c r="AC26" s="510">
        <f t="shared" si="10"/>
        <v>1.1904916889461659E-7</v>
      </c>
      <c r="AD26" s="511">
        <f t="shared" si="10"/>
        <v>2.3918594774326892E-6</v>
      </c>
      <c r="AE26" s="512"/>
      <c r="AF26" s="509"/>
      <c r="AG26" s="510">
        <f t="shared" si="11"/>
        <v>3.7105024125135549E-5</v>
      </c>
      <c r="AH26" s="510">
        <f t="shared" si="11"/>
        <v>2.3820301640917916E-8</v>
      </c>
      <c r="AI26" s="510">
        <f t="shared" si="11"/>
        <v>0</v>
      </c>
      <c r="AJ26" s="510">
        <f t="shared" si="11"/>
        <v>1.0635493504255252E-7</v>
      </c>
      <c r="AK26" s="510">
        <f t="shared" si="11"/>
        <v>9.2421636729878034E-7</v>
      </c>
      <c r="AL26" s="510">
        <f t="shared" si="11"/>
        <v>2.3043135781501566E-7</v>
      </c>
      <c r="AM26" s="510">
        <f t="shared" si="11"/>
        <v>5.3120522929556147E-8</v>
      </c>
      <c r="AN26" s="512">
        <f t="shared" si="11"/>
        <v>4.8735392492410711E-8</v>
      </c>
      <c r="AQ26" s="828"/>
    </row>
    <row r="27" spans="1:43">
      <c r="A27" t="b">
        <f t="shared" si="12"/>
        <v>0</v>
      </c>
      <c r="B27" t="s">
        <v>433</v>
      </c>
      <c r="C27" t="s">
        <v>74</v>
      </c>
      <c r="D27" t="s">
        <v>432</v>
      </c>
      <c r="E27" s="529"/>
      <c r="F27" s="530">
        <f t="shared" si="6"/>
        <v>0</v>
      </c>
      <c r="G27" s="530"/>
      <c r="H27" s="530"/>
      <c r="I27" s="530">
        <f t="shared" si="7"/>
        <v>0</v>
      </c>
      <c r="J27" s="530">
        <f t="shared" si="7"/>
        <v>0</v>
      </c>
      <c r="K27" s="530">
        <f t="shared" si="7"/>
        <v>0</v>
      </c>
      <c r="L27" s="531">
        <f t="shared" si="7"/>
        <v>0</v>
      </c>
      <c r="M27" s="532"/>
      <c r="N27" s="529"/>
      <c r="O27" s="530">
        <f t="shared" si="8"/>
        <v>0</v>
      </c>
      <c r="P27" s="530">
        <f t="shared" si="8"/>
        <v>0</v>
      </c>
      <c r="Q27" s="530">
        <f t="shared" si="8"/>
        <v>0</v>
      </c>
      <c r="R27" s="530">
        <f t="shared" si="8"/>
        <v>0</v>
      </c>
      <c r="S27" s="530">
        <f t="shared" si="8"/>
        <v>0</v>
      </c>
      <c r="T27" s="530">
        <f t="shared" si="8"/>
        <v>0</v>
      </c>
      <c r="U27" s="530">
        <f t="shared" si="8"/>
        <v>0</v>
      </c>
      <c r="V27" s="532">
        <f t="shared" si="8"/>
        <v>0</v>
      </c>
      <c r="W27" s="509"/>
      <c r="X27" s="527">
        <f t="shared" si="9"/>
        <v>0</v>
      </c>
      <c r="Y27" s="510"/>
      <c r="Z27" s="510"/>
      <c r="AA27" s="510">
        <f t="shared" si="10"/>
        <v>0</v>
      </c>
      <c r="AB27" s="510">
        <f t="shared" si="10"/>
        <v>0</v>
      </c>
      <c r="AC27" s="510">
        <f t="shared" si="10"/>
        <v>0</v>
      </c>
      <c r="AD27" s="511">
        <f t="shared" si="10"/>
        <v>0</v>
      </c>
      <c r="AE27" s="512"/>
      <c r="AF27" s="509"/>
      <c r="AG27" s="510">
        <f t="shared" si="11"/>
        <v>0</v>
      </c>
      <c r="AH27" s="510">
        <f t="shared" si="11"/>
        <v>0</v>
      </c>
      <c r="AI27" s="510">
        <f t="shared" si="11"/>
        <v>0</v>
      </c>
      <c r="AJ27" s="510">
        <f t="shared" si="11"/>
        <v>0</v>
      </c>
      <c r="AK27" s="510">
        <f t="shared" si="11"/>
        <v>0</v>
      </c>
      <c r="AL27" s="510">
        <f t="shared" si="11"/>
        <v>0</v>
      </c>
      <c r="AM27" s="510">
        <f t="shared" si="11"/>
        <v>0</v>
      </c>
      <c r="AN27" s="512">
        <f t="shared" si="11"/>
        <v>0</v>
      </c>
      <c r="AQ27" s="828"/>
    </row>
    <row r="28" spans="1:43">
      <c r="A28" t="b">
        <f t="shared" si="12"/>
        <v>0</v>
      </c>
      <c r="B28" t="s">
        <v>433</v>
      </c>
      <c r="C28" t="s">
        <v>74</v>
      </c>
      <c r="D28" t="s">
        <v>96</v>
      </c>
      <c r="E28" s="529"/>
      <c r="F28" s="530">
        <f t="shared" si="6"/>
        <v>0</v>
      </c>
      <c r="G28" s="530"/>
      <c r="H28" s="530"/>
      <c r="I28" s="530">
        <f t="shared" si="7"/>
        <v>3.9870412520953712E-5</v>
      </c>
      <c r="J28" s="530">
        <f t="shared" si="7"/>
        <v>1.2341681138455468E-3</v>
      </c>
      <c r="K28" s="530">
        <f t="shared" si="7"/>
        <v>1.968137342766919E-2</v>
      </c>
      <c r="L28" s="531">
        <f t="shared" si="7"/>
        <v>1.3568144690202064E-3</v>
      </c>
      <c r="M28" s="532"/>
      <c r="N28" s="529"/>
      <c r="O28" s="530">
        <f t="shared" si="8"/>
        <v>0</v>
      </c>
      <c r="P28" s="530">
        <f t="shared" si="8"/>
        <v>1.8642413623599369E-5</v>
      </c>
      <c r="Q28" s="530">
        <f t="shared" si="8"/>
        <v>0</v>
      </c>
      <c r="R28" s="530">
        <f t="shared" si="8"/>
        <v>1.0096300072925946E-3</v>
      </c>
      <c r="S28" s="530">
        <f t="shared" si="8"/>
        <v>2.5490703773794882E-5</v>
      </c>
      <c r="T28" s="530">
        <f t="shared" si="8"/>
        <v>1.0633823064563911E-4</v>
      </c>
      <c r="U28" s="530">
        <f t="shared" si="8"/>
        <v>5.5749041298806389E-4</v>
      </c>
      <c r="V28" s="532">
        <f t="shared" si="8"/>
        <v>1.1895500930307192E-4</v>
      </c>
      <c r="W28" s="509"/>
      <c r="X28" s="527">
        <f t="shared" si="9"/>
        <v>6.3624783976461684E-4</v>
      </c>
      <c r="Y28" s="510"/>
      <c r="Z28" s="510"/>
      <c r="AA28" s="510">
        <f t="shared" si="10"/>
        <v>4.5063857648655994E-8</v>
      </c>
      <c r="AB28" s="510">
        <f t="shared" si="10"/>
        <v>5.8291881216491995E-8</v>
      </c>
      <c r="AC28" s="510">
        <f t="shared" si="10"/>
        <v>5.7448017971343994E-8</v>
      </c>
      <c r="AD28" s="511">
        <f t="shared" si="10"/>
        <v>5.8439480173689996E-9</v>
      </c>
      <c r="AE28" s="512"/>
      <c r="AF28" s="509"/>
      <c r="AG28" s="510">
        <f t="shared" si="11"/>
        <v>1.1308872507480047E-4</v>
      </c>
      <c r="AH28" s="510">
        <f t="shared" si="11"/>
        <v>9.1269941007135982E-8</v>
      </c>
      <c r="AI28" s="510">
        <f t="shared" si="11"/>
        <v>0</v>
      </c>
      <c r="AJ28" s="510">
        <f t="shared" si="11"/>
        <v>2.606683587753316E-7</v>
      </c>
      <c r="AK28" s="510">
        <f t="shared" si="11"/>
        <v>9.518059709981488E-9</v>
      </c>
      <c r="AL28" s="510">
        <f t="shared" si="11"/>
        <v>5.8389311711516491E-9</v>
      </c>
      <c r="AM28" s="510">
        <f t="shared" si="11"/>
        <v>1.3532420942705492E-7</v>
      </c>
      <c r="AN28" s="512">
        <f t="shared" si="11"/>
        <v>6.7313907761253626E-8</v>
      </c>
      <c r="AQ28" s="828"/>
    </row>
    <row r="29" spans="1:43">
      <c r="A29" t="b">
        <f t="shared" si="12"/>
        <v>0</v>
      </c>
      <c r="B29" t="s">
        <v>433</v>
      </c>
      <c r="C29" t="s">
        <v>74</v>
      </c>
      <c r="D29" t="s">
        <v>50</v>
      </c>
      <c r="E29" s="529"/>
      <c r="F29" s="530">
        <f t="shared" si="6"/>
        <v>0</v>
      </c>
      <c r="G29" s="530"/>
      <c r="H29" s="530"/>
      <c r="I29" s="530">
        <f t="shared" si="7"/>
        <v>1.5458840937545234E-3</v>
      </c>
      <c r="J29" s="530">
        <f t="shared" si="7"/>
        <v>3.551114662812723E-4</v>
      </c>
      <c r="K29" s="530">
        <f t="shared" si="7"/>
        <v>5.8011661326976488E-3</v>
      </c>
      <c r="L29" s="531">
        <f t="shared" si="7"/>
        <v>7.6614618402448653E-2</v>
      </c>
      <c r="M29" s="532"/>
      <c r="N29" s="529"/>
      <c r="O29" s="530">
        <f t="shared" si="8"/>
        <v>0</v>
      </c>
      <c r="P29" s="530">
        <f t="shared" si="8"/>
        <v>6.2188244415412283E-6</v>
      </c>
      <c r="Q29" s="530">
        <f t="shared" si="8"/>
        <v>0</v>
      </c>
      <c r="R29" s="530">
        <f t="shared" si="8"/>
        <v>1.8731113206350088E-4</v>
      </c>
      <c r="S29" s="530">
        <f t="shared" si="8"/>
        <v>5.2850718026594369E-3</v>
      </c>
      <c r="T29" s="530">
        <f t="shared" si="8"/>
        <v>9.5809920382452646E-3</v>
      </c>
      <c r="U29" s="530">
        <f t="shared" si="8"/>
        <v>7.568373925590893E-4</v>
      </c>
      <c r="V29" s="532">
        <f t="shared" si="8"/>
        <v>1.6657350757857527E-4</v>
      </c>
      <c r="W29" s="509"/>
      <c r="X29" s="527">
        <f t="shared" si="9"/>
        <v>8.0937197678084601E-4</v>
      </c>
      <c r="Y29" s="510"/>
      <c r="Z29" s="510"/>
      <c r="AA29" s="510">
        <f t="shared" si="10"/>
        <v>1.25161602382817E-6</v>
      </c>
      <c r="AB29" s="510">
        <f t="shared" si="10"/>
        <v>5.6166846322279E-7</v>
      </c>
      <c r="AC29" s="510">
        <f t="shared" si="10"/>
        <v>4.3132774315931303E-7</v>
      </c>
      <c r="AD29" s="511">
        <f t="shared" si="10"/>
        <v>9.3950818587856994E-6</v>
      </c>
      <c r="AE29" s="512"/>
      <c r="AF29" s="509"/>
      <c r="AG29" s="510">
        <f t="shared" si="11"/>
        <v>4.0111380719194698E-5</v>
      </c>
      <c r="AH29" s="510">
        <f t="shared" si="11"/>
        <v>2.2636878306142781E-8</v>
      </c>
      <c r="AI29" s="510">
        <f t="shared" si="11"/>
        <v>0</v>
      </c>
      <c r="AJ29" s="510">
        <f t="shared" si="11"/>
        <v>1.2555788000750739E-7</v>
      </c>
      <c r="AK29" s="510">
        <f t="shared" si="11"/>
        <v>1.4672364244229522E-6</v>
      </c>
      <c r="AL29" s="510">
        <f t="shared" si="11"/>
        <v>3.6524253699289805E-7</v>
      </c>
      <c r="AM29" s="510">
        <f t="shared" si="11"/>
        <v>6.1856319584363438E-8</v>
      </c>
      <c r="AN29" s="512">
        <f t="shared" si="11"/>
        <v>6.6228357120997307E-8</v>
      </c>
      <c r="AQ29" s="828"/>
    </row>
    <row r="30" spans="1:43">
      <c r="A30" s="218" t="b">
        <f t="shared" si="12"/>
        <v>0</v>
      </c>
      <c r="B30" s="218" t="s">
        <v>433</v>
      </c>
      <c r="C30" s="218" t="s">
        <v>74</v>
      </c>
      <c r="D30" s="218" t="s">
        <v>434</v>
      </c>
      <c r="E30" s="533"/>
      <c r="F30" s="534">
        <f t="shared" si="6"/>
        <v>0</v>
      </c>
      <c r="G30" s="534"/>
      <c r="H30" s="534"/>
      <c r="I30" s="534">
        <f t="shared" si="7"/>
        <v>1.3688242521230109E-3</v>
      </c>
      <c r="J30" s="534">
        <f t="shared" si="7"/>
        <v>6.8075759159203601E-5</v>
      </c>
      <c r="K30" s="534">
        <f t="shared" si="7"/>
        <v>1.2004725247417199E-3</v>
      </c>
      <c r="L30" s="535">
        <f t="shared" si="7"/>
        <v>1.5503538941594263E-2</v>
      </c>
      <c r="M30" s="536"/>
      <c r="N30" s="533"/>
      <c r="O30" s="534">
        <f t="shared" si="8"/>
        <v>0</v>
      </c>
      <c r="P30" s="534">
        <f t="shared" si="8"/>
        <v>7.8993009222832498E-7</v>
      </c>
      <c r="Q30" s="534">
        <f t="shared" si="8"/>
        <v>0</v>
      </c>
      <c r="R30" s="534">
        <f t="shared" si="8"/>
        <v>7.187836997335209E-5</v>
      </c>
      <c r="S30" s="534">
        <f t="shared" si="8"/>
        <v>6.7132257804554233E-4</v>
      </c>
      <c r="T30" s="534">
        <f t="shared" si="8"/>
        <v>6.4596211203034695E-4</v>
      </c>
      <c r="U30" s="534">
        <f t="shared" si="8"/>
        <v>9.6754280346664126E-5</v>
      </c>
      <c r="V30" s="536">
        <f t="shared" si="8"/>
        <v>1.1332256726287492E-5</v>
      </c>
      <c r="W30" s="513"/>
      <c r="X30" s="528">
        <f t="shared" si="9"/>
        <v>5.758410542718907E-4</v>
      </c>
      <c r="Y30" s="514"/>
      <c r="Z30" s="514"/>
      <c r="AA30" s="514">
        <f t="shared" si="10"/>
        <v>8.7188560351180721E-7</v>
      </c>
      <c r="AB30" s="514">
        <f t="shared" si="10"/>
        <v>1.4343866084981122E-7</v>
      </c>
      <c r="AC30" s="514">
        <f t="shared" si="10"/>
        <v>1.1904916889461656E-7</v>
      </c>
      <c r="AD30" s="515">
        <f t="shared" si="10"/>
        <v>2.3918594774326888E-6</v>
      </c>
      <c r="AE30" s="516"/>
      <c r="AF30" s="513"/>
      <c r="AG30" s="514">
        <f t="shared" si="11"/>
        <v>3.7105024125135556E-5</v>
      </c>
      <c r="AH30" s="514">
        <f t="shared" si="11"/>
        <v>2.3820301640917926E-8</v>
      </c>
      <c r="AI30" s="514">
        <f t="shared" si="11"/>
        <v>0</v>
      </c>
      <c r="AJ30" s="514">
        <f t="shared" si="11"/>
        <v>1.0635493504255248E-7</v>
      </c>
      <c r="AK30" s="514">
        <f t="shared" si="11"/>
        <v>9.2421636729878034E-7</v>
      </c>
      <c r="AL30" s="514">
        <f t="shared" si="11"/>
        <v>2.3043135781501556E-7</v>
      </c>
      <c r="AM30" s="514">
        <f t="shared" si="11"/>
        <v>5.3120522929556154E-8</v>
      </c>
      <c r="AN30" s="516">
        <f t="shared" si="11"/>
        <v>4.8735392492410698E-8</v>
      </c>
      <c r="AQ30" s="828"/>
    </row>
    <row r="31" spans="1:43">
      <c r="A31" t="b">
        <f t="shared" si="12"/>
        <v>0</v>
      </c>
      <c r="B31" t="s">
        <v>432</v>
      </c>
      <c r="C31" t="s">
        <v>47</v>
      </c>
      <c r="D31" t="s">
        <v>432</v>
      </c>
      <c r="E31" s="529"/>
      <c r="F31" s="530">
        <f t="shared" si="6"/>
        <v>0</v>
      </c>
      <c r="G31" s="530"/>
      <c r="H31" s="530"/>
      <c r="I31" s="530">
        <f t="shared" si="7"/>
        <v>0</v>
      </c>
      <c r="J31" s="530">
        <f t="shared" si="7"/>
        <v>0</v>
      </c>
      <c r="K31" s="530">
        <f t="shared" si="7"/>
        <v>0</v>
      </c>
      <c r="L31" s="531">
        <f t="shared" si="7"/>
        <v>0</v>
      </c>
      <c r="M31" s="532"/>
      <c r="N31" s="529"/>
      <c r="O31" s="530">
        <f t="shared" si="8"/>
        <v>0</v>
      </c>
      <c r="P31" s="530">
        <f t="shared" si="8"/>
        <v>0</v>
      </c>
      <c r="Q31" s="530">
        <f t="shared" si="8"/>
        <v>0</v>
      </c>
      <c r="R31" s="530">
        <f t="shared" si="8"/>
        <v>0</v>
      </c>
      <c r="S31" s="530">
        <f t="shared" si="8"/>
        <v>0</v>
      </c>
      <c r="T31" s="530">
        <f t="shared" si="8"/>
        <v>0</v>
      </c>
      <c r="U31" s="530">
        <f t="shared" si="8"/>
        <v>0</v>
      </c>
      <c r="V31" s="532">
        <f t="shared" si="8"/>
        <v>0</v>
      </c>
      <c r="W31" s="509"/>
      <c r="X31" s="527">
        <f t="shared" si="9"/>
        <v>0</v>
      </c>
      <c r="Y31" s="510"/>
      <c r="Z31" s="510"/>
      <c r="AA31" s="510">
        <f t="shared" si="10"/>
        <v>0</v>
      </c>
      <c r="AB31" s="510">
        <f t="shared" si="10"/>
        <v>0</v>
      </c>
      <c r="AC31" s="510">
        <f t="shared" si="10"/>
        <v>0</v>
      </c>
      <c r="AD31" s="511">
        <f t="shared" si="10"/>
        <v>0</v>
      </c>
      <c r="AE31" s="512"/>
      <c r="AF31" s="509"/>
      <c r="AG31" s="510">
        <f t="shared" si="11"/>
        <v>0</v>
      </c>
      <c r="AH31" s="510">
        <f t="shared" si="11"/>
        <v>0</v>
      </c>
      <c r="AI31" s="510">
        <f t="shared" si="11"/>
        <v>0</v>
      </c>
      <c r="AJ31" s="510">
        <f t="shared" si="11"/>
        <v>0</v>
      </c>
      <c r="AK31" s="510">
        <f t="shared" si="11"/>
        <v>0</v>
      </c>
      <c r="AL31" s="510">
        <f t="shared" si="11"/>
        <v>0</v>
      </c>
      <c r="AM31" s="510">
        <f t="shared" si="11"/>
        <v>0</v>
      </c>
      <c r="AN31" s="512">
        <f t="shared" si="11"/>
        <v>0</v>
      </c>
      <c r="AQ31" s="828"/>
    </row>
    <row r="32" spans="1:43">
      <c r="A32" t="b">
        <f t="shared" si="12"/>
        <v>0</v>
      </c>
      <c r="B32" t="s">
        <v>432</v>
      </c>
      <c r="C32" t="s">
        <v>47</v>
      </c>
      <c r="D32" t="s">
        <v>96</v>
      </c>
      <c r="E32" s="529"/>
      <c r="F32" s="530">
        <f t="shared" si="6"/>
        <v>1.5494385670828881E-2</v>
      </c>
      <c r="G32" s="530"/>
      <c r="H32" s="530"/>
      <c r="I32" s="530">
        <f t="shared" si="7"/>
        <v>3.819070203422148E-3</v>
      </c>
      <c r="J32" s="530">
        <f t="shared" si="7"/>
        <v>1.0177792644546758E-6</v>
      </c>
      <c r="K32" s="530">
        <f t="shared" si="7"/>
        <v>2.067486121303927E-5</v>
      </c>
      <c r="L32" s="531">
        <f t="shared" si="7"/>
        <v>5.0842993872848743E-6</v>
      </c>
      <c r="M32" s="532"/>
      <c r="N32" s="529"/>
      <c r="O32" s="530">
        <f t="shared" si="8"/>
        <v>1.5905814009656348E-3</v>
      </c>
      <c r="P32" s="530">
        <f t="shared" si="8"/>
        <v>3.8714054657469278E-6</v>
      </c>
      <c r="Q32" s="530">
        <f t="shared" si="8"/>
        <v>0</v>
      </c>
      <c r="R32" s="530">
        <f t="shared" si="8"/>
        <v>1.8221637100632556E-4</v>
      </c>
      <c r="S32" s="530">
        <f t="shared" si="8"/>
        <v>5.2935661609117256E-6</v>
      </c>
      <c r="T32" s="530">
        <f t="shared" si="8"/>
        <v>1.4400569936302875E-5</v>
      </c>
      <c r="U32" s="530">
        <f t="shared" si="8"/>
        <v>4.4568531409127911E-4</v>
      </c>
      <c r="V32" s="532">
        <f t="shared" si="8"/>
        <v>1.6065467318977152E-5</v>
      </c>
      <c r="W32" s="509"/>
      <c r="X32" s="527">
        <f t="shared" si="9"/>
        <v>1.1138567130646337E-3</v>
      </c>
      <c r="Y32" s="510"/>
      <c r="Z32" s="510"/>
      <c r="AA32" s="510">
        <f t="shared" si="10"/>
        <v>1.8104332054131398E-6</v>
      </c>
      <c r="AB32" s="510">
        <f t="shared" si="10"/>
        <v>4.3260011511639992E-9</v>
      </c>
      <c r="AC32" s="510">
        <f t="shared" si="10"/>
        <v>4.3260011511639992E-9</v>
      </c>
      <c r="AD32" s="511">
        <f t="shared" si="10"/>
        <v>2.5490984009260003E-9</v>
      </c>
      <c r="AE32" s="512"/>
      <c r="AF32" s="509"/>
      <c r="AG32" s="510">
        <f t="shared" si="11"/>
        <v>1.1434333756625445E-4</v>
      </c>
      <c r="AH32" s="510">
        <f t="shared" si="11"/>
        <v>9.2282494716677618E-8</v>
      </c>
      <c r="AI32" s="510">
        <f t="shared" si="11"/>
        <v>0</v>
      </c>
      <c r="AJ32" s="510">
        <f t="shared" si="11"/>
        <v>2.6356022778199018E-7</v>
      </c>
      <c r="AK32" s="510">
        <f t="shared" si="11"/>
        <v>9.6236535841599192E-9</v>
      </c>
      <c r="AL32" s="510">
        <f t="shared" si="11"/>
        <v>5.9037085924128894E-9</v>
      </c>
      <c r="AM32" s="510">
        <f t="shared" si="11"/>
        <v>1.368255035961334E-7</v>
      </c>
      <c r="AN32" s="512">
        <f t="shared" si="11"/>
        <v>6.8060691929790244E-8</v>
      </c>
      <c r="AQ32" s="828"/>
    </row>
    <row r="33" spans="1:43">
      <c r="A33" t="b">
        <f t="shared" si="12"/>
        <v>0</v>
      </c>
      <c r="B33" t="s">
        <v>432</v>
      </c>
      <c r="C33" t="s">
        <v>47</v>
      </c>
      <c r="D33" t="s">
        <v>50</v>
      </c>
      <c r="E33" s="529"/>
      <c r="F33" s="530">
        <f t="shared" si="6"/>
        <v>1.2535797846412998E-2</v>
      </c>
      <c r="G33" s="530"/>
      <c r="H33" s="530"/>
      <c r="I33" s="530">
        <f t="shared" si="7"/>
        <v>3.2371445095420275E-3</v>
      </c>
      <c r="J33" s="530">
        <f t="shared" si="7"/>
        <v>1.5433598246959119E-4</v>
      </c>
      <c r="K33" s="530">
        <f t="shared" si="7"/>
        <v>2.9176186738650665E-3</v>
      </c>
      <c r="L33" s="531">
        <f t="shared" si="7"/>
        <v>7.5728997147250537E-2</v>
      </c>
      <c r="M33" s="532"/>
      <c r="N33" s="529"/>
      <c r="O33" s="530">
        <f t="shared" ref="O33:V42" si="13">O85*USD_BaseYear/USD_2000/1000</f>
        <v>6.2241386668143099E-4</v>
      </c>
      <c r="P33" s="530">
        <f t="shared" si="13"/>
        <v>1.1409939087178864E-6</v>
      </c>
      <c r="Q33" s="530">
        <f t="shared" si="13"/>
        <v>0</v>
      </c>
      <c r="R33" s="530">
        <f t="shared" si="13"/>
        <v>1.0382283586236646E-4</v>
      </c>
      <c r="S33" s="530">
        <f t="shared" si="13"/>
        <v>9.6967437988594964E-4</v>
      </c>
      <c r="T33" s="530">
        <f t="shared" si="13"/>
        <v>9.3304311652445549E-4</v>
      </c>
      <c r="U33" s="530">
        <f t="shared" si="13"/>
        <v>1.3975419547128357E-4</v>
      </c>
      <c r="V33" s="532">
        <f t="shared" si="13"/>
        <v>1.6368582516266478E-5</v>
      </c>
      <c r="W33" s="509"/>
      <c r="X33" s="527">
        <f t="shared" si="9"/>
        <v>9.011704549949629E-4</v>
      </c>
      <c r="Y33" s="510"/>
      <c r="Z33" s="510"/>
      <c r="AA33" s="510">
        <f t="shared" si="10"/>
        <v>1.60587302557528E-6</v>
      </c>
      <c r="AB33" s="510">
        <f t="shared" si="10"/>
        <v>3.8162563137198499E-7</v>
      </c>
      <c r="AC33" s="510">
        <f t="shared" si="10"/>
        <v>3.5290874378652197E-7</v>
      </c>
      <c r="AD33" s="511">
        <f t="shared" si="10"/>
        <v>1.0798941172088299E-5</v>
      </c>
      <c r="AE33" s="512"/>
      <c r="AF33" s="509"/>
      <c r="AG33" s="510">
        <f t="shared" ref="AG33:AN42" si="14">AG85*lb_to_mt/1000</f>
        <v>4.4743940059066602E-5</v>
      </c>
      <c r="AH33" s="510">
        <f t="shared" si="14"/>
        <v>2.5251265548426944E-8</v>
      </c>
      <c r="AI33" s="510">
        <f t="shared" si="14"/>
        <v>0</v>
      </c>
      <c r="AJ33" s="510">
        <f t="shared" si="14"/>
        <v>1.4005886001104422E-7</v>
      </c>
      <c r="AK33" s="510">
        <f t="shared" si="14"/>
        <v>1.6366910699597034E-6</v>
      </c>
      <c r="AL33" s="510">
        <f t="shared" si="14"/>
        <v>4.0742527156167532E-7</v>
      </c>
      <c r="AM33" s="510">
        <f t="shared" si="14"/>
        <v>6.900025394620199E-8</v>
      </c>
      <c r="AN33" s="512">
        <f t="shared" si="14"/>
        <v>7.387722855958206E-8</v>
      </c>
      <c r="AQ33" s="828"/>
    </row>
    <row r="34" spans="1:43">
      <c r="A34" t="b">
        <f t="shared" si="12"/>
        <v>0</v>
      </c>
      <c r="B34" t="s">
        <v>432</v>
      </c>
      <c r="C34" t="s">
        <v>47</v>
      </c>
      <c r="D34" t="s">
        <v>434</v>
      </c>
      <c r="E34" s="529"/>
      <c r="F34" s="530">
        <f t="shared" si="6"/>
        <v>8.0102793073238351E-3</v>
      </c>
      <c r="G34" s="530"/>
      <c r="H34" s="530"/>
      <c r="I34" s="530">
        <f t="shared" si="7"/>
        <v>1.3688242521230111E-3</v>
      </c>
      <c r="J34" s="530">
        <f t="shared" si="7"/>
        <v>6.8075759159203628E-5</v>
      </c>
      <c r="K34" s="530">
        <f t="shared" si="7"/>
        <v>1.2004725247417203E-3</v>
      </c>
      <c r="L34" s="531">
        <f t="shared" si="7"/>
        <v>1.5503538941594269E-2</v>
      </c>
      <c r="M34" s="532"/>
      <c r="N34" s="529"/>
      <c r="O34" s="530">
        <f t="shared" si="13"/>
        <v>5.1615216515456816E-4</v>
      </c>
      <c r="P34" s="530">
        <f t="shared" si="13"/>
        <v>1.0453645766968142E-6</v>
      </c>
      <c r="Q34" s="530">
        <f t="shared" si="13"/>
        <v>0</v>
      </c>
      <c r="R34" s="530">
        <f t="shared" si="13"/>
        <v>7.7473562278015565E-5</v>
      </c>
      <c r="S34" s="530">
        <f t="shared" si="13"/>
        <v>5.4751910108563975E-4</v>
      </c>
      <c r="T34" s="530">
        <f t="shared" si="13"/>
        <v>5.2780138071802422E-4</v>
      </c>
      <c r="U34" s="530">
        <f t="shared" si="13"/>
        <v>1.2508323117053156E-4</v>
      </c>
      <c r="V34" s="532">
        <f t="shared" si="13"/>
        <v>1.0900324077016368E-5</v>
      </c>
      <c r="W34" s="509"/>
      <c r="X34" s="527">
        <f t="shared" si="9"/>
        <v>5.7584105427189059E-4</v>
      </c>
      <c r="Y34" s="510"/>
      <c r="Z34" s="510"/>
      <c r="AA34" s="510">
        <f t="shared" si="10"/>
        <v>8.7188560351180732E-7</v>
      </c>
      <c r="AB34" s="510">
        <f t="shared" si="10"/>
        <v>1.4343866084981124E-7</v>
      </c>
      <c r="AC34" s="510">
        <f t="shared" si="10"/>
        <v>1.1904916889461662E-7</v>
      </c>
      <c r="AD34" s="511">
        <f t="shared" si="10"/>
        <v>2.3918594774326896E-6</v>
      </c>
      <c r="AE34" s="512"/>
      <c r="AF34" s="509"/>
      <c r="AG34" s="510">
        <f t="shared" si="14"/>
        <v>3.7105024125135569E-5</v>
      </c>
      <c r="AH34" s="510">
        <f t="shared" si="14"/>
        <v>2.3820301640917933E-8</v>
      </c>
      <c r="AI34" s="510">
        <f t="shared" si="14"/>
        <v>0</v>
      </c>
      <c r="AJ34" s="510">
        <f t="shared" si="14"/>
        <v>1.0635493504255253E-7</v>
      </c>
      <c r="AK34" s="510">
        <f t="shared" si="14"/>
        <v>9.2421636729878034E-7</v>
      </c>
      <c r="AL34" s="510">
        <f t="shared" si="14"/>
        <v>2.3043135781501561E-7</v>
      </c>
      <c r="AM34" s="510">
        <f t="shared" si="14"/>
        <v>5.3120522929556161E-8</v>
      </c>
      <c r="AN34" s="512">
        <f t="shared" si="14"/>
        <v>4.8735392492410711E-8</v>
      </c>
      <c r="AQ34" s="828"/>
    </row>
    <row r="35" spans="1:43">
      <c r="A35" t="b">
        <f t="shared" si="12"/>
        <v>0</v>
      </c>
      <c r="B35" t="s">
        <v>433</v>
      </c>
      <c r="C35" t="s">
        <v>47</v>
      </c>
      <c r="D35" t="s">
        <v>432</v>
      </c>
      <c r="E35" s="529"/>
      <c r="F35" s="530">
        <f t="shared" si="6"/>
        <v>0</v>
      </c>
      <c r="G35" s="530"/>
      <c r="H35" s="530"/>
      <c r="I35" s="530">
        <f t="shared" si="7"/>
        <v>0</v>
      </c>
      <c r="J35" s="530">
        <f t="shared" si="7"/>
        <v>0</v>
      </c>
      <c r="K35" s="530">
        <f t="shared" si="7"/>
        <v>0</v>
      </c>
      <c r="L35" s="531">
        <f t="shared" si="7"/>
        <v>0</v>
      </c>
      <c r="M35" s="532"/>
      <c r="N35" s="529"/>
      <c r="O35" s="530">
        <f t="shared" si="13"/>
        <v>0</v>
      </c>
      <c r="P35" s="530">
        <f t="shared" si="13"/>
        <v>0</v>
      </c>
      <c r="Q35" s="530">
        <f t="shared" si="13"/>
        <v>0</v>
      </c>
      <c r="R35" s="530">
        <f t="shared" si="13"/>
        <v>0</v>
      </c>
      <c r="S35" s="530">
        <f t="shared" si="13"/>
        <v>0</v>
      </c>
      <c r="T35" s="530">
        <f t="shared" si="13"/>
        <v>0</v>
      </c>
      <c r="U35" s="530">
        <f t="shared" si="13"/>
        <v>0</v>
      </c>
      <c r="V35" s="532">
        <f t="shared" si="13"/>
        <v>0</v>
      </c>
      <c r="W35" s="509"/>
      <c r="X35" s="527">
        <f t="shared" si="9"/>
        <v>0</v>
      </c>
      <c r="Y35" s="510"/>
      <c r="Z35" s="510"/>
      <c r="AA35" s="510">
        <f t="shared" si="10"/>
        <v>0</v>
      </c>
      <c r="AB35" s="510">
        <f t="shared" si="10"/>
        <v>0</v>
      </c>
      <c r="AC35" s="510">
        <f t="shared" si="10"/>
        <v>0</v>
      </c>
      <c r="AD35" s="511">
        <f t="shared" si="10"/>
        <v>0</v>
      </c>
      <c r="AE35" s="512"/>
      <c r="AF35" s="509"/>
      <c r="AG35" s="510">
        <f t="shared" si="14"/>
        <v>0</v>
      </c>
      <c r="AH35" s="510">
        <f t="shared" si="14"/>
        <v>0</v>
      </c>
      <c r="AI35" s="510">
        <f t="shared" si="14"/>
        <v>0</v>
      </c>
      <c r="AJ35" s="510">
        <f t="shared" si="14"/>
        <v>0</v>
      </c>
      <c r="AK35" s="510">
        <f t="shared" si="14"/>
        <v>0</v>
      </c>
      <c r="AL35" s="510">
        <f t="shared" si="14"/>
        <v>0</v>
      </c>
      <c r="AM35" s="510">
        <f t="shared" si="14"/>
        <v>0</v>
      </c>
      <c r="AN35" s="512">
        <f t="shared" si="14"/>
        <v>0</v>
      </c>
      <c r="AQ35" s="828"/>
    </row>
    <row r="36" spans="1:43">
      <c r="A36" t="b">
        <f t="shared" si="12"/>
        <v>0</v>
      </c>
      <c r="B36" t="s">
        <v>433</v>
      </c>
      <c r="C36" t="s">
        <v>47</v>
      </c>
      <c r="D36" t="s">
        <v>96</v>
      </c>
      <c r="E36" s="529"/>
      <c r="F36" s="530">
        <f t="shared" si="6"/>
        <v>1.2670440511523561E-2</v>
      </c>
      <c r="G36" s="530"/>
      <c r="H36" s="530"/>
      <c r="I36" s="530">
        <f t="shared" si="7"/>
        <v>1.0952429075126921E-3</v>
      </c>
      <c r="J36" s="530">
        <f t="shared" si="7"/>
        <v>3.3820158646520107E-5</v>
      </c>
      <c r="K36" s="530">
        <f t="shared" si="7"/>
        <v>3.0791474753616801E-4</v>
      </c>
      <c r="L36" s="531">
        <f t="shared" si="7"/>
        <v>5.1197139286036798E-3</v>
      </c>
      <c r="M36" s="532"/>
      <c r="N36" s="529"/>
      <c r="O36" s="530">
        <f t="shared" si="13"/>
        <v>6.2790792815972012E-4</v>
      </c>
      <c r="P36" s="530">
        <f t="shared" si="13"/>
        <v>6.9982848684759268E-6</v>
      </c>
      <c r="Q36" s="530">
        <f t="shared" si="13"/>
        <v>0</v>
      </c>
      <c r="R36" s="530">
        <f t="shared" si="13"/>
        <v>2.1078849765571143E-4</v>
      </c>
      <c r="S36" s="530">
        <f t="shared" si="13"/>
        <v>5.9474967291718375E-3</v>
      </c>
      <c r="T36" s="530">
        <f t="shared" si="13"/>
        <v>1.078186275180054E-2</v>
      </c>
      <c r="U36" s="530">
        <f t="shared" si="13"/>
        <v>8.5169853595841146E-4</v>
      </c>
      <c r="V36" s="532">
        <f t="shared" si="13"/>
        <v>1.8745164275568417E-4</v>
      </c>
      <c r="W36" s="509"/>
      <c r="X36" s="527">
        <f t="shared" si="9"/>
        <v>9.108496148909675E-4</v>
      </c>
      <c r="Y36" s="510"/>
      <c r="Z36" s="510"/>
      <c r="AA36" s="510">
        <f t="shared" si="10"/>
        <v>1.4479834182790901E-6</v>
      </c>
      <c r="AB36" s="510">
        <f t="shared" si="10"/>
        <v>2.3578257559749199E-7</v>
      </c>
      <c r="AC36" s="510">
        <f t="shared" si="10"/>
        <v>1.55102962571095E-7</v>
      </c>
      <c r="AD36" s="511">
        <f t="shared" si="10"/>
        <v>2.4726780656131401E-6</v>
      </c>
      <c r="AE36" s="512"/>
      <c r="AF36" s="509"/>
      <c r="AG36" s="510">
        <f t="shared" si="14"/>
        <v>4.5138895844316183E-5</v>
      </c>
      <c r="AH36" s="510">
        <f t="shared" si="14"/>
        <v>2.5474159048643046E-8</v>
      </c>
      <c r="AI36" s="510">
        <f t="shared" si="14"/>
        <v>0</v>
      </c>
      <c r="AJ36" s="510">
        <f t="shared" si="14"/>
        <v>7.4529344550692696E-8</v>
      </c>
      <c r="AK36" s="510">
        <f t="shared" si="14"/>
        <v>1.6511381795770857E-6</v>
      </c>
      <c r="AL36" s="510">
        <f t="shared" si="14"/>
        <v>4.1102162377937772E-7</v>
      </c>
      <c r="AM36" s="510">
        <f t="shared" si="14"/>
        <v>6.9609320770531017E-8</v>
      </c>
      <c r="AN36" s="512">
        <f t="shared" si="14"/>
        <v>7.4529344550692696E-8</v>
      </c>
      <c r="AQ36" s="828"/>
    </row>
    <row r="37" spans="1:43">
      <c r="A37" t="b">
        <f t="shared" si="12"/>
        <v>0</v>
      </c>
      <c r="B37" t="s">
        <v>433</v>
      </c>
      <c r="C37" t="s">
        <v>47</v>
      </c>
      <c r="D37" t="s">
        <v>50</v>
      </c>
      <c r="E37" s="529"/>
      <c r="F37" s="530">
        <f t="shared" si="6"/>
        <v>1.9317138845350305E-2</v>
      </c>
      <c r="G37" s="530"/>
      <c r="H37" s="530"/>
      <c r="I37" s="530">
        <f t="shared" si="7"/>
        <v>2.7144456011812135E-3</v>
      </c>
      <c r="J37" s="530">
        <f t="shared" si="7"/>
        <v>3.3555152312501115E-4</v>
      </c>
      <c r="K37" s="530">
        <f t="shared" si="7"/>
        <v>7.0749746084952485E-3</v>
      </c>
      <c r="L37" s="531">
        <f t="shared" si="7"/>
        <v>5.4365514866822777E-2</v>
      </c>
      <c r="M37" s="532"/>
      <c r="N37" s="529"/>
      <c r="O37" s="530">
        <f t="shared" si="13"/>
        <v>9.5235192866555617E-4</v>
      </c>
      <c r="P37" s="530">
        <f t="shared" si="13"/>
        <v>1.0614342952122598E-5</v>
      </c>
      <c r="Q37" s="530">
        <f t="shared" si="13"/>
        <v>0</v>
      </c>
      <c r="R37" s="530">
        <f t="shared" si="13"/>
        <v>3.1970424847362121E-4</v>
      </c>
      <c r="S37" s="530">
        <f t="shared" si="13"/>
        <v>9.020605930807923E-3</v>
      </c>
      <c r="T37" s="530">
        <f t="shared" si="13"/>
        <v>1.6352919474003965E-2</v>
      </c>
      <c r="U37" s="530">
        <f t="shared" si="13"/>
        <v>1.2917765598833167E-3</v>
      </c>
      <c r="V37" s="532">
        <f t="shared" si="13"/>
        <v>2.843090929479279E-4</v>
      </c>
      <c r="W37" s="509"/>
      <c r="X37" s="527">
        <f t="shared" si="9"/>
        <v>1.3886658843534521E-3</v>
      </c>
      <c r="Y37" s="510"/>
      <c r="Z37" s="510"/>
      <c r="AA37" s="510">
        <f t="shared" si="10"/>
        <v>9.7662882466225996E-7</v>
      </c>
      <c r="AB37" s="510">
        <f t="shared" si="10"/>
        <v>2.3307925579076597E-7</v>
      </c>
      <c r="AC37" s="510">
        <f t="shared" si="10"/>
        <v>2.1234518568416997E-7</v>
      </c>
      <c r="AD37" s="511">
        <f t="shared" si="10"/>
        <v>4.0175714937427303E-6</v>
      </c>
      <c r="AE37" s="512"/>
      <c r="AF37" s="509"/>
      <c r="AG37" s="510">
        <f t="shared" si="14"/>
        <v>6.8462449010889636E-5</v>
      </c>
      <c r="AH37" s="510">
        <f t="shared" si="14"/>
        <v>3.8636818254884746E-8</v>
      </c>
      <c r="AI37" s="510">
        <f t="shared" si="14"/>
        <v>0</v>
      </c>
      <c r="AJ37" s="510">
        <f t="shared" si="14"/>
        <v>1.1303912857583372E-7</v>
      </c>
      <c r="AK37" s="510">
        <f t="shared" si="14"/>
        <v>2.5042917270087211E-6</v>
      </c>
      <c r="AL37" s="510">
        <f t="shared" si="14"/>
        <v>6.233990981397031E-7</v>
      </c>
      <c r="AM37" s="510">
        <f t="shared" si="14"/>
        <v>1.0557689736965994E-7</v>
      </c>
      <c r="AN37" s="512">
        <f t="shared" si="14"/>
        <v>1.1303912857583372E-7</v>
      </c>
      <c r="AQ37" s="828"/>
    </row>
    <row r="38" spans="1:43">
      <c r="A38" s="218" t="b">
        <f t="shared" si="12"/>
        <v>0</v>
      </c>
      <c r="B38" s="218" t="s">
        <v>433</v>
      </c>
      <c r="C38" s="218" t="s">
        <v>47</v>
      </c>
      <c r="D38" s="218" t="s">
        <v>434</v>
      </c>
      <c r="E38" s="533"/>
      <c r="F38" s="534">
        <f t="shared" si="6"/>
        <v>8.0102793073238282E-3</v>
      </c>
      <c r="G38" s="534"/>
      <c r="H38" s="534"/>
      <c r="I38" s="534">
        <f t="shared" si="7"/>
        <v>1.3688242521230109E-3</v>
      </c>
      <c r="J38" s="534">
        <f t="shared" si="7"/>
        <v>6.8075759159203614E-5</v>
      </c>
      <c r="K38" s="534">
        <f t="shared" si="7"/>
        <v>1.2004725247417199E-3</v>
      </c>
      <c r="L38" s="535">
        <f t="shared" si="7"/>
        <v>1.5503538941594258E-2</v>
      </c>
      <c r="M38" s="536"/>
      <c r="N38" s="533"/>
      <c r="O38" s="534">
        <f t="shared" si="13"/>
        <v>4.3090803496429212E-4</v>
      </c>
      <c r="P38" s="534">
        <f t="shared" si="13"/>
        <v>7.8993009222832498E-7</v>
      </c>
      <c r="Q38" s="534">
        <f t="shared" si="13"/>
        <v>0</v>
      </c>
      <c r="R38" s="534">
        <f t="shared" si="13"/>
        <v>7.1878369973352104E-5</v>
      </c>
      <c r="S38" s="534">
        <f t="shared" si="13"/>
        <v>6.7132257804554223E-4</v>
      </c>
      <c r="T38" s="534">
        <f t="shared" si="13"/>
        <v>6.4596211203034695E-4</v>
      </c>
      <c r="U38" s="534">
        <f t="shared" si="13"/>
        <v>9.6754280346664112E-5</v>
      </c>
      <c r="V38" s="536">
        <f t="shared" si="13"/>
        <v>1.133225672628749E-5</v>
      </c>
      <c r="W38" s="513"/>
      <c r="X38" s="528">
        <f t="shared" si="9"/>
        <v>5.758410542718907E-4</v>
      </c>
      <c r="Y38" s="514"/>
      <c r="Z38" s="514"/>
      <c r="AA38" s="514">
        <f t="shared" si="10"/>
        <v>8.7188560351180679E-7</v>
      </c>
      <c r="AB38" s="514">
        <f t="shared" si="10"/>
        <v>1.4343866084981119E-7</v>
      </c>
      <c r="AC38" s="514">
        <f t="shared" si="10"/>
        <v>1.1904916889461657E-7</v>
      </c>
      <c r="AD38" s="515">
        <f t="shared" si="10"/>
        <v>2.3918594774326888E-6</v>
      </c>
      <c r="AE38" s="516"/>
      <c r="AF38" s="513"/>
      <c r="AG38" s="514">
        <f t="shared" si="14"/>
        <v>3.7105024125135535E-5</v>
      </c>
      <c r="AH38" s="514">
        <f t="shared" si="14"/>
        <v>2.3820301640917926E-8</v>
      </c>
      <c r="AI38" s="514">
        <f t="shared" si="14"/>
        <v>0</v>
      </c>
      <c r="AJ38" s="514">
        <f t="shared" si="14"/>
        <v>4.8735392492410671E-8</v>
      </c>
      <c r="AK38" s="514">
        <f t="shared" si="14"/>
        <v>9.2421636729878013E-7</v>
      </c>
      <c r="AL38" s="514">
        <f t="shared" si="14"/>
        <v>2.3043135781501556E-7</v>
      </c>
      <c r="AM38" s="514">
        <f t="shared" si="14"/>
        <v>5.3120522929556154E-8</v>
      </c>
      <c r="AN38" s="516">
        <f t="shared" si="14"/>
        <v>4.8735392492410671E-8</v>
      </c>
      <c r="AQ38" s="828"/>
    </row>
    <row r="39" spans="1:43">
      <c r="A39" t="b">
        <f t="shared" si="12"/>
        <v>0</v>
      </c>
      <c r="B39" t="s">
        <v>432</v>
      </c>
      <c r="C39" t="s">
        <v>17</v>
      </c>
      <c r="D39" t="s">
        <v>432</v>
      </c>
      <c r="E39" s="529"/>
      <c r="F39" s="530">
        <f t="shared" si="6"/>
        <v>0</v>
      </c>
      <c r="G39" s="530"/>
      <c r="H39" s="530"/>
      <c r="I39" s="530">
        <f t="shared" si="7"/>
        <v>0</v>
      </c>
      <c r="J39" s="530">
        <f t="shared" si="7"/>
        <v>0</v>
      </c>
      <c r="K39" s="530">
        <f t="shared" si="7"/>
        <v>0</v>
      </c>
      <c r="L39" s="531">
        <f t="shared" si="7"/>
        <v>0</v>
      </c>
      <c r="M39" s="532"/>
      <c r="N39" s="529"/>
      <c r="O39" s="530">
        <f t="shared" si="13"/>
        <v>0</v>
      </c>
      <c r="P39" s="530">
        <f t="shared" si="13"/>
        <v>0</v>
      </c>
      <c r="Q39" s="530">
        <f t="shared" si="13"/>
        <v>0</v>
      </c>
      <c r="R39" s="530">
        <f t="shared" si="13"/>
        <v>0</v>
      </c>
      <c r="S39" s="530">
        <f t="shared" si="13"/>
        <v>0</v>
      </c>
      <c r="T39" s="530">
        <f t="shared" si="13"/>
        <v>0</v>
      </c>
      <c r="U39" s="530">
        <f t="shared" si="13"/>
        <v>0</v>
      </c>
      <c r="V39" s="532">
        <f t="shared" si="13"/>
        <v>0</v>
      </c>
      <c r="W39" s="509"/>
      <c r="X39" s="527">
        <f t="shared" si="9"/>
        <v>0</v>
      </c>
      <c r="Y39" s="510"/>
      <c r="Z39" s="510"/>
      <c r="AA39" s="510">
        <f t="shared" si="10"/>
        <v>0</v>
      </c>
      <c r="AB39" s="510">
        <f t="shared" si="10"/>
        <v>0</v>
      </c>
      <c r="AC39" s="510">
        <f t="shared" si="10"/>
        <v>0</v>
      </c>
      <c r="AD39" s="511">
        <f t="shared" si="10"/>
        <v>0</v>
      </c>
      <c r="AE39" s="512"/>
      <c r="AF39" s="509"/>
      <c r="AG39" s="510">
        <f t="shared" si="14"/>
        <v>0</v>
      </c>
      <c r="AH39" s="510">
        <f t="shared" si="14"/>
        <v>0</v>
      </c>
      <c r="AI39" s="510">
        <f t="shared" si="14"/>
        <v>0</v>
      </c>
      <c r="AJ39" s="510">
        <f t="shared" si="14"/>
        <v>0</v>
      </c>
      <c r="AK39" s="510">
        <f t="shared" si="14"/>
        <v>0</v>
      </c>
      <c r="AL39" s="510">
        <f t="shared" si="14"/>
        <v>0</v>
      </c>
      <c r="AM39" s="510">
        <f t="shared" si="14"/>
        <v>0</v>
      </c>
      <c r="AN39" s="512">
        <f t="shared" si="14"/>
        <v>0</v>
      </c>
      <c r="AQ39" s="828"/>
    </row>
    <row r="40" spans="1:43">
      <c r="A40" t="b">
        <f t="shared" si="12"/>
        <v>0</v>
      </c>
      <c r="B40" t="s">
        <v>432</v>
      </c>
      <c r="C40" t="s">
        <v>17</v>
      </c>
      <c r="D40" t="s">
        <v>96</v>
      </c>
      <c r="E40" s="529"/>
      <c r="F40" s="530">
        <f t="shared" si="6"/>
        <v>3.9042552027708635E-2</v>
      </c>
      <c r="G40" s="530"/>
      <c r="H40" s="530"/>
      <c r="I40" s="530">
        <f t="shared" si="7"/>
        <v>3.1773275271877537E-3</v>
      </c>
      <c r="J40" s="530">
        <f t="shared" si="7"/>
        <v>6.8145099129457971E-5</v>
      </c>
      <c r="K40" s="530">
        <f t="shared" si="7"/>
        <v>6.7627688914337781E-4</v>
      </c>
      <c r="L40" s="531">
        <f t="shared" si="7"/>
        <v>2.3035560265264989E-3</v>
      </c>
      <c r="M40" s="532"/>
      <c r="N40" s="529"/>
      <c r="O40" s="530">
        <f t="shared" si="13"/>
        <v>1.93766494567787E-3</v>
      </c>
      <c r="P40" s="530">
        <f t="shared" si="13"/>
        <v>1.1840266948327309E-6</v>
      </c>
      <c r="Q40" s="530">
        <f t="shared" si="13"/>
        <v>0</v>
      </c>
      <c r="R40" s="530">
        <f t="shared" si="13"/>
        <v>1.0773853239270307E-4</v>
      </c>
      <c r="S40" s="530">
        <f t="shared" si="13"/>
        <v>1.0062458198137625E-3</v>
      </c>
      <c r="T40" s="530">
        <f t="shared" si="13"/>
        <v>9.6823300190643994E-4</v>
      </c>
      <c r="U40" s="530">
        <f t="shared" si="13"/>
        <v>1.4502504955421708E-4</v>
      </c>
      <c r="V40" s="532">
        <f t="shared" si="13"/>
        <v>1.6985926487205979E-5</v>
      </c>
      <c r="W40" s="509"/>
      <c r="X40" s="527">
        <f t="shared" si="9"/>
        <v>9.3556056572397807E-4</v>
      </c>
      <c r="Y40" s="510"/>
      <c r="Z40" s="510"/>
      <c r="AA40" s="510">
        <f t="shared" si="10"/>
        <v>2.4274617102096901E-6</v>
      </c>
      <c r="AB40" s="510">
        <f t="shared" si="10"/>
        <v>3.51307880235081E-7</v>
      </c>
      <c r="AC40" s="510">
        <f t="shared" si="10"/>
        <v>2.1397929755633199E-7</v>
      </c>
      <c r="AD40" s="511">
        <f t="shared" si="10"/>
        <v>7.3010001079015007E-7</v>
      </c>
      <c r="AE40" s="512"/>
      <c r="AF40" s="509"/>
      <c r="AG40" s="510">
        <f t="shared" si="14"/>
        <v>4.6431465634607006E-5</v>
      </c>
      <c r="AH40" s="510">
        <f t="shared" si="14"/>
        <v>2.6203621473530549E-8</v>
      </c>
      <c r="AI40" s="510">
        <f t="shared" si="14"/>
        <v>0</v>
      </c>
      <c r="AJ40" s="510">
        <f t="shared" si="14"/>
        <v>1.4534120457072442E-7</v>
      </c>
      <c r="AK40" s="510">
        <f t="shared" si="14"/>
        <v>1.6984191617676561E-6</v>
      </c>
      <c r="AL40" s="510">
        <f t="shared" si="14"/>
        <v>4.2279138739712017E-7</v>
      </c>
      <c r="AM40" s="510">
        <f t="shared" si="14"/>
        <v>7.1602610669800446E-8</v>
      </c>
      <c r="AN40" s="512">
        <f t="shared" si="14"/>
        <v>7.6663521239211131E-8</v>
      </c>
      <c r="AQ40" s="828"/>
    </row>
    <row r="41" spans="1:43">
      <c r="A41" t="b">
        <f t="shared" si="12"/>
        <v>0</v>
      </c>
      <c r="B41" t="s">
        <v>432</v>
      </c>
      <c r="C41" t="s">
        <v>17</v>
      </c>
      <c r="D41" t="s">
        <v>50</v>
      </c>
      <c r="E41" s="529"/>
      <c r="F41" s="530">
        <f t="shared" si="6"/>
        <v>3.8288108519334722E-2</v>
      </c>
      <c r="G41" s="530"/>
      <c r="H41" s="530"/>
      <c r="I41" s="530">
        <f t="shared" si="7"/>
        <v>3.1912081977010804E-3</v>
      </c>
      <c r="J41" s="530">
        <f t="shared" si="7"/>
        <v>2.9024754392645334E-4</v>
      </c>
      <c r="K41" s="530">
        <f t="shared" si="7"/>
        <v>5.0327679628572276E-3</v>
      </c>
      <c r="L41" s="531">
        <f t="shared" si="7"/>
        <v>7.1970149028279209E-2</v>
      </c>
      <c r="M41" s="532"/>
      <c r="N41" s="529"/>
      <c r="O41" s="530">
        <f t="shared" si="13"/>
        <v>1.8975325735380792E-3</v>
      </c>
      <c r="P41" s="530">
        <f t="shared" si="13"/>
        <v>1.1595034664766284E-6</v>
      </c>
      <c r="Q41" s="530">
        <f t="shared" si="13"/>
        <v>0</v>
      </c>
      <c r="R41" s="530">
        <f t="shared" si="13"/>
        <v>1.0550708216936932E-4</v>
      </c>
      <c r="S41" s="530">
        <f t="shared" si="13"/>
        <v>9.8540473900928546E-4</v>
      </c>
      <c r="T41" s="530">
        <f t="shared" si="13"/>
        <v>9.4817923191013015E-4</v>
      </c>
      <c r="U41" s="530">
        <f t="shared" si="13"/>
        <v>1.4202133145977357E-4</v>
      </c>
      <c r="V41" s="532">
        <f t="shared" si="13"/>
        <v>1.6634118748492305E-5</v>
      </c>
      <c r="W41" s="509"/>
      <c r="X41" s="527">
        <f t="shared" si="9"/>
        <v>9.1748214720768436E-4</v>
      </c>
      <c r="Y41" s="510"/>
      <c r="Z41" s="510"/>
      <c r="AA41" s="510">
        <f t="shared" si="10"/>
        <v>1.83662816478064E-6</v>
      </c>
      <c r="AB41" s="510">
        <f t="shared" si="10"/>
        <v>6.5381303163406995E-7</v>
      </c>
      <c r="AC41" s="510">
        <f t="shared" si="10"/>
        <v>5.5124354978308007E-7</v>
      </c>
      <c r="AD41" s="511">
        <f t="shared" si="10"/>
        <v>9.3344955259247998E-6</v>
      </c>
      <c r="AE41" s="512"/>
      <c r="AF41" s="509"/>
      <c r="AG41" s="510">
        <f t="shared" si="14"/>
        <v>4.5469790159184652E-5</v>
      </c>
      <c r="AH41" s="510">
        <f t="shared" si="14"/>
        <v>2.5660899425153882E-8</v>
      </c>
      <c r="AI41" s="510">
        <f t="shared" si="14"/>
        <v>0</v>
      </c>
      <c r="AJ41" s="510">
        <f t="shared" si="14"/>
        <v>1.423309383623748E-7</v>
      </c>
      <c r="AK41" s="510">
        <f t="shared" si="14"/>
        <v>1.6632419811093322E-6</v>
      </c>
      <c r="AL41" s="510">
        <f t="shared" si="14"/>
        <v>4.140346509270883E-7</v>
      </c>
      <c r="AM41" s="510">
        <f t="shared" si="14"/>
        <v>7.0119597508009627E-8</v>
      </c>
      <c r="AN41" s="512">
        <f t="shared" si="14"/>
        <v>7.5075687919120566E-8</v>
      </c>
      <c r="AQ41" s="828"/>
    </row>
    <row r="42" spans="1:43">
      <c r="A42" t="b">
        <f t="shared" si="12"/>
        <v>1</v>
      </c>
      <c r="B42" t="s">
        <v>432</v>
      </c>
      <c r="C42" t="s">
        <v>17</v>
      </c>
      <c r="D42" t="s">
        <v>434</v>
      </c>
      <c r="E42" s="529"/>
      <c r="F42" s="530">
        <f t="shared" si="6"/>
        <v>2.4030837921971526E-2</v>
      </c>
      <c r="G42" s="530"/>
      <c r="H42" s="530"/>
      <c r="I42" s="530">
        <f t="shared" si="7"/>
        <v>1.3688242521230111E-3</v>
      </c>
      <c r="J42" s="530">
        <f t="shared" si="7"/>
        <v>6.8075759159203628E-5</v>
      </c>
      <c r="K42" s="530">
        <f t="shared" si="7"/>
        <v>1.2004725247417203E-3</v>
      </c>
      <c r="L42" s="531">
        <f t="shared" si="7"/>
        <v>1.550353894159427E-2</v>
      </c>
      <c r="M42" s="532"/>
      <c r="N42" s="529"/>
      <c r="O42" s="530">
        <f t="shared" si="13"/>
        <v>1.5484564954637043E-3</v>
      </c>
      <c r="P42" s="530">
        <f t="shared" si="13"/>
        <v>1.0453645766968148E-6</v>
      </c>
      <c r="Q42" s="530">
        <f t="shared" si="13"/>
        <v>0</v>
      </c>
      <c r="R42" s="530">
        <f t="shared" si="13"/>
        <v>7.747356227801562E-5</v>
      </c>
      <c r="S42" s="530">
        <f t="shared" si="13"/>
        <v>5.4751910108563975E-4</v>
      </c>
      <c r="T42" s="530">
        <f t="shared" si="13"/>
        <v>5.2780138071802432E-4</v>
      </c>
      <c r="U42" s="530">
        <f t="shared" si="13"/>
        <v>1.2508323117053156E-4</v>
      </c>
      <c r="V42" s="532">
        <f t="shared" si="13"/>
        <v>1.0900324077016369E-5</v>
      </c>
      <c r="W42" s="509"/>
      <c r="X42" s="527">
        <f t="shared" si="9"/>
        <v>5.758410542718907E-4</v>
      </c>
      <c r="Y42" s="510"/>
      <c r="Z42" s="510"/>
      <c r="AA42" s="510">
        <f t="shared" si="10"/>
        <v>8.718856035118071E-7</v>
      </c>
      <c r="AB42" s="510">
        <f t="shared" si="10"/>
        <v>1.4343866084981127E-7</v>
      </c>
      <c r="AC42" s="510">
        <f t="shared" si="10"/>
        <v>1.1904916889461669E-7</v>
      </c>
      <c r="AD42" s="511">
        <f t="shared" si="10"/>
        <v>2.3918594774326909E-6</v>
      </c>
      <c r="AE42" s="512"/>
      <c r="AF42" s="509"/>
      <c r="AG42" s="510">
        <f t="shared" si="14"/>
        <v>3.7105024125135569E-5</v>
      </c>
      <c r="AH42" s="510">
        <f t="shared" si="14"/>
        <v>2.3820301640917946E-8</v>
      </c>
      <c r="AI42" s="510">
        <f t="shared" si="14"/>
        <v>0</v>
      </c>
      <c r="AJ42" s="510">
        <f t="shared" si="14"/>
        <v>1.0635493504255254E-7</v>
      </c>
      <c r="AK42" s="510">
        <f t="shared" si="14"/>
        <v>9.2421636729878087E-7</v>
      </c>
      <c r="AL42" s="510">
        <f t="shared" si="14"/>
        <v>2.3043135781501566E-7</v>
      </c>
      <c r="AM42" s="510">
        <f t="shared" si="14"/>
        <v>5.3120522929556174E-8</v>
      </c>
      <c r="AN42" s="512">
        <f t="shared" si="14"/>
        <v>4.8735392492410717E-8</v>
      </c>
      <c r="AQ42" s="828"/>
    </row>
    <row r="43" spans="1:43">
      <c r="A43" t="b">
        <f t="shared" si="12"/>
        <v>0</v>
      </c>
      <c r="B43" t="s">
        <v>433</v>
      </c>
      <c r="C43" t="s">
        <v>17</v>
      </c>
      <c r="D43" t="s">
        <v>432</v>
      </c>
      <c r="E43" s="529"/>
      <c r="F43" s="530">
        <f t="shared" si="6"/>
        <v>0</v>
      </c>
      <c r="G43" s="530"/>
      <c r="H43" s="530"/>
      <c r="I43" s="530">
        <f t="shared" si="7"/>
        <v>0</v>
      </c>
      <c r="J43" s="530">
        <f t="shared" si="7"/>
        <v>0</v>
      </c>
      <c r="K43" s="530">
        <f t="shared" si="7"/>
        <v>0</v>
      </c>
      <c r="L43" s="531">
        <f t="shared" si="7"/>
        <v>0</v>
      </c>
      <c r="M43" s="532"/>
      <c r="N43" s="529"/>
      <c r="O43" s="530">
        <f t="shared" ref="O43:V52" si="15">O95*USD_BaseYear/USD_2000/1000</f>
        <v>0</v>
      </c>
      <c r="P43" s="530">
        <f t="shared" si="15"/>
        <v>0</v>
      </c>
      <c r="Q43" s="530">
        <f t="shared" si="15"/>
        <v>0</v>
      </c>
      <c r="R43" s="530">
        <f t="shared" si="15"/>
        <v>0</v>
      </c>
      <c r="S43" s="530">
        <f t="shared" si="15"/>
        <v>0</v>
      </c>
      <c r="T43" s="530">
        <f t="shared" si="15"/>
        <v>0</v>
      </c>
      <c r="U43" s="530">
        <f t="shared" si="15"/>
        <v>0</v>
      </c>
      <c r="V43" s="532">
        <f t="shared" si="15"/>
        <v>0</v>
      </c>
      <c r="W43" s="509"/>
      <c r="X43" s="527">
        <f t="shared" si="9"/>
        <v>0</v>
      </c>
      <c r="Y43" s="510"/>
      <c r="Z43" s="510"/>
      <c r="AA43" s="510">
        <f t="shared" si="10"/>
        <v>0</v>
      </c>
      <c r="AB43" s="510">
        <f t="shared" si="10"/>
        <v>0</v>
      </c>
      <c r="AC43" s="510">
        <f t="shared" si="10"/>
        <v>0</v>
      </c>
      <c r="AD43" s="511">
        <f t="shared" si="10"/>
        <v>0</v>
      </c>
      <c r="AE43" s="512"/>
      <c r="AF43" s="509"/>
      <c r="AG43" s="510">
        <f t="shared" ref="AG43:AN52" si="16">AG95*lb_to_mt/1000</f>
        <v>0</v>
      </c>
      <c r="AH43" s="510">
        <f t="shared" si="16"/>
        <v>0</v>
      </c>
      <c r="AI43" s="510">
        <f t="shared" si="16"/>
        <v>0</v>
      </c>
      <c r="AJ43" s="510">
        <f t="shared" si="16"/>
        <v>0</v>
      </c>
      <c r="AK43" s="510">
        <f t="shared" si="16"/>
        <v>0</v>
      </c>
      <c r="AL43" s="510">
        <f t="shared" si="16"/>
        <v>0</v>
      </c>
      <c r="AM43" s="510">
        <f t="shared" si="16"/>
        <v>0</v>
      </c>
      <c r="AN43" s="512">
        <f t="shared" si="16"/>
        <v>0</v>
      </c>
      <c r="AQ43" s="828"/>
    </row>
    <row r="44" spans="1:43">
      <c r="A44" t="b">
        <f t="shared" si="12"/>
        <v>0</v>
      </c>
      <c r="B44" t="s">
        <v>433</v>
      </c>
      <c r="C44" t="s">
        <v>17</v>
      </c>
      <c r="D44" t="s">
        <v>96</v>
      </c>
      <c r="E44" s="529"/>
      <c r="F44" s="530">
        <f t="shared" si="6"/>
        <v>3.9727325847456675E-2</v>
      </c>
      <c r="G44" s="530"/>
      <c r="H44" s="530"/>
      <c r="I44" s="530">
        <f t="shared" si="7"/>
        <v>2.0494001630181691E-3</v>
      </c>
      <c r="J44" s="530">
        <f t="shared" si="7"/>
        <v>2.0695911743079964E-5</v>
      </c>
      <c r="K44" s="530">
        <f t="shared" si="7"/>
        <v>3.0425519711508729E-4</v>
      </c>
      <c r="L44" s="531">
        <f t="shared" si="7"/>
        <v>2.5493839159436366E-3</v>
      </c>
      <c r="M44" s="532"/>
      <c r="N44" s="529"/>
      <c r="O44" s="530">
        <f t="shared" si="15"/>
        <v>1.9704627314777656E-3</v>
      </c>
      <c r="P44" s="530">
        <f t="shared" si="15"/>
        <v>7.3205316146758825E-6</v>
      </c>
      <c r="Q44" s="530">
        <f t="shared" si="15"/>
        <v>0</v>
      </c>
      <c r="R44" s="530">
        <f t="shared" si="15"/>
        <v>2.2049457689977094E-4</v>
      </c>
      <c r="S44" s="530">
        <f t="shared" si="15"/>
        <v>6.2213583259816112E-3</v>
      </c>
      <c r="T44" s="530">
        <f t="shared" si="15"/>
        <v>1.127833013702987E-2</v>
      </c>
      <c r="U44" s="530">
        <f t="shared" si="15"/>
        <v>8.9091629961249861E-4</v>
      </c>
      <c r="V44" s="532">
        <f t="shared" si="15"/>
        <v>1.9608314077028426E-4</v>
      </c>
      <c r="W44" s="509"/>
      <c r="X44" s="527">
        <f t="shared" si="9"/>
        <v>9.5196951823665616E-4</v>
      </c>
      <c r="Y44" s="510"/>
      <c r="Z44" s="510"/>
      <c r="AA44" s="510">
        <f t="shared" si="10"/>
        <v>1.53428617055714E-6</v>
      </c>
      <c r="AB44" s="510">
        <f t="shared" si="10"/>
        <v>1.2154919274813699E-7</v>
      </c>
      <c r="AC44" s="510">
        <f t="shared" si="10"/>
        <v>1.0941391855886799E-7</v>
      </c>
      <c r="AD44" s="511">
        <f t="shared" si="10"/>
        <v>5.9990312486719992E-7</v>
      </c>
      <c r="AE44" s="512"/>
      <c r="AF44" s="509"/>
      <c r="AG44" s="510">
        <f t="shared" si="16"/>
        <v>4.7217385443733902E-5</v>
      </c>
      <c r="AH44" s="510">
        <f t="shared" si="16"/>
        <v>2.6647155721382531E-8</v>
      </c>
      <c r="AI44" s="510">
        <f t="shared" si="16"/>
        <v>0</v>
      </c>
      <c r="AJ44" s="510">
        <f t="shared" si="16"/>
        <v>1.4780131497631457E-7</v>
      </c>
      <c r="AK44" s="510">
        <f t="shared" si="16"/>
        <v>1.7271673661413515E-6</v>
      </c>
      <c r="AL44" s="510">
        <f t="shared" si="16"/>
        <v>4.2994774401740275E-7</v>
      </c>
      <c r="AM44" s="510">
        <f t="shared" si="16"/>
        <v>7.2814588567578787E-8</v>
      </c>
      <c r="AN44" s="512">
        <f t="shared" si="16"/>
        <v>7.7961162378809556E-8</v>
      </c>
      <c r="AQ44" s="828"/>
    </row>
    <row r="45" spans="1:43">
      <c r="A45" t="b">
        <f t="shared" si="12"/>
        <v>0</v>
      </c>
      <c r="B45" t="s">
        <v>433</v>
      </c>
      <c r="C45" t="s">
        <v>17</v>
      </c>
      <c r="D45" t="s">
        <v>50</v>
      </c>
      <c r="E45" s="529"/>
      <c r="F45" s="530">
        <f t="shared" si="6"/>
        <v>4.2465665373221641E-2</v>
      </c>
      <c r="G45" s="530"/>
      <c r="H45" s="530"/>
      <c r="I45" s="530">
        <f t="shared" si="7"/>
        <v>2.2197627450699061E-3</v>
      </c>
      <c r="J45" s="530">
        <f t="shared" si="7"/>
        <v>2.9895503418152274E-4</v>
      </c>
      <c r="K45" s="530">
        <f t="shared" si="7"/>
        <v>5.6990735996808768E-3</v>
      </c>
      <c r="L45" s="531">
        <f t="shared" si="7"/>
        <v>6.6129499352625215E-2</v>
      </c>
      <c r="M45" s="532"/>
      <c r="N45" s="529"/>
      <c r="O45" s="530">
        <f t="shared" si="15"/>
        <v>2.1057541407065866E-3</v>
      </c>
      <c r="P45" s="530">
        <f t="shared" si="15"/>
        <v>7.823157227752498E-6</v>
      </c>
      <c r="Q45" s="530">
        <f t="shared" si="15"/>
        <v>0</v>
      </c>
      <c r="R45" s="530">
        <f t="shared" si="15"/>
        <v>2.3563367167154091E-4</v>
      </c>
      <c r="S45" s="530">
        <f t="shared" si="15"/>
        <v>6.6485150145063777E-3</v>
      </c>
      <c r="T45" s="530">
        <f t="shared" si="15"/>
        <v>1.2052697068010754E-2</v>
      </c>
      <c r="U45" s="530">
        <f t="shared" si="15"/>
        <v>9.5208635868238348E-4</v>
      </c>
      <c r="V45" s="532">
        <f t="shared" si="15"/>
        <v>2.09546153298783E-4</v>
      </c>
      <c r="W45" s="509"/>
      <c r="X45" s="527">
        <f t="shared" si="9"/>
        <v>1.0175872184846016E-3</v>
      </c>
      <c r="Y45" s="510"/>
      <c r="Z45" s="510"/>
      <c r="AA45" s="510">
        <f t="shared" si="10"/>
        <v>1.69526202033881E-6</v>
      </c>
      <c r="AB45" s="510">
        <f t="shared" si="10"/>
        <v>3.7396332226176E-7</v>
      </c>
      <c r="AC45" s="510">
        <f t="shared" si="10"/>
        <v>3.7396332226176E-7</v>
      </c>
      <c r="AD45" s="511">
        <f t="shared" si="10"/>
        <v>7.2982014429786007E-6</v>
      </c>
      <c r="AE45" s="512"/>
      <c r="AF45" s="509"/>
      <c r="AG45" s="510">
        <f t="shared" si="16"/>
        <v>5.0459317663376722E-5</v>
      </c>
      <c r="AH45" s="510">
        <f t="shared" si="16"/>
        <v>2.8476741834275914E-8</v>
      </c>
      <c r="AI45" s="510">
        <f t="shared" si="16"/>
        <v>0</v>
      </c>
      <c r="AJ45" s="510">
        <f t="shared" si="16"/>
        <v>1.5794931111426847E-7</v>
      </c>
      <c r="AK45" s="510">
        <f t="shared" si="16"/>
        <v>1.8457541849664153E-6</v>
      </c>
      <c r="AL45" s="510">
        <f t="shared" si="16"/>
        <v>4.594678335139663E-7</v>
      </c>
      <c r="AM45" s="510">
        <f t="shared" si="16"/>
        <v>7.7814017454181733E-8</v>
      </c>
      <c r="AN45" s="512">
        <f t="shared" si="16"/>
        <v>8.3313953555649473E-8</v>
      </c>
      <c r="AQ45" s="828"/>
    </row>
    <row r="46" spans="1:43">
      <c r="A46" s="218" t="b">
        <f t="shared" si="12"/>
        <v>0</v>
      </c>
      <c r="B46" s="218" t="s">
        <v>433</v>
      </c>
      <c r="C46" s="218" t="s">
        <v>17</v>
      </c>
      <c r="D46" s="218" t="s">
        <v>434</v>
      </c>
      <c r="E46" s="533"/>
      <c r="F46" s="534">
        <f t="shared" si="6"/>
        <v>2.4030837921971516E-2</v>
      </c>
      <c r="G46" s="534"/>
      <c r="H46" s="534"/>
      <c r="I46" s="534">
        <f t="shared" si="7"/>
        <v>1.3688242521230104E-3</v>
      </c>
      <c r="J46" s="534">
        <f t="shared" si="7"/>
        <v>6.8075759159203587E-5</v>
      </c>
      <c r="K46" s="534">
        <f t="shared" si="7"/>
        <v>1.2004725247417199E-3</v>
      </c>
      <c r="L46" s="535">
        <f t="shared" si="7"/>
        <v>1.550353894159426E-2</v>
      </c>
      <c r="M46" s="536"/>
      <c r="N46" s="533"/>
      <c r="O46" s="534">
        <f t="shared" si="15"/>
        <v>1.2927241048928768E-3</v>
      </c>
      <c r="P46" s="534">
        <f t="shared" si="15"/>
        <v>7.899300922283253E-7</v>
      </c>
      <c r="Q46" s="534">
        <f t="shared" si="15"/>
        <v>0</v>
      </c>
      <c r="R46" s="534">
        <f t="shared" si="15"/>
        <v>7.1878369973352117E-5</v>
      </c>
      <c r="S46" s="534">
        <f t="shared" si="15"/>
        <v>6.7132257804554255E-4</v>
      </c>
      <c r="T46" s="534">
        <f t="shared" si="15"/>
        <v>6.4596211203034727E-4</v>
      </c>
      <c r="U46" s="534">
        <f t="shared" si="15"/>
        <v>9.6754280346664126E-5</v>
      </c>
      <c r="V46" s="536">
        <f t="shared" si="15"/>
        <v>1.133225672628749E-5</v>
      </c>
      <c r="W46" s="513"/>
      <c r="X46" s="528">
        <f t="shared" si="9"/>
        <v>5.758410542718907E-4</v>
      </c>
      <c r="Y46" s="514"/>
      <c r="Z46" s="514"/>
      <c r="AA46" s="514">
        <f t="shared" si="10"/>
        <v>8.71885603511807E-7</v>
      </c>
      <c r="AB46" s="514">
        <f t="shared" si="10"/>
        <v>1.4343866084981119E-7</v>
      </c>
      <c r="AC46" s="514">
        <f t="shared" si="10"/>
        <v>1.1904916889461657E-7</v>
      </c>
      <c r="AD46" s="515">
        <f t="shared" si="10"/>
        <v>2.3918594774326883E-6</v>
      </c>
      <c r="AE46" s="516"/>
      <c r="AF46" s="513"/>
      <c r="AG46" s="514">
        <f t="shared" si="16"/>
        <v>3.7105024125135535E-5</v>
      </c>
      <c r="AH46" s="514">
        <f t="shared" si="16"/>
        <v>2.3820301640917946E-8</v>
      </c>
      <c r="AI46" s="514">
        <f t="shared" si="16"/>
        <v>0</v>
      </c>
      <c r="AJ46" s="514">
        <f t="shared" si="16"/>
        <v>1.0635493504255249E-7</v>
      </c>
      <c r="AK46" s="514">
        <f t="shared" si="16"/>
        <v>9.2421636729878055E-7</v>
      </c>
      <c r="AL46" s="514">
        <f t="shared" si="16"/>
        <v>2.3043135781501556E-7</v>
      </c>
      <c r="AM46" s="514">
        <f t="shared" si="16"/>
        <v>5.3120522929556161E-8</v>
      </c>
      <c r="AN46" s="516">
        <f t="shared" si="16"/>
        <v>4.8735392492410691E-8</v>
      </c>
      <c r="AQ46" s="828"/>
    </row>
    <row r="47" spans="1:43">
      <c r="A47" t="b">
        <f t="shared" si="12"/>
        <v>0</v>
      </c>
      <c r="B47" t="s">
        <v>432</v>
      </c>
      <c r="C47" t="s">
        <v>48</v>
      </c>
      <c r="D47" t="s">
        <v>432</v>
      </c>
      <c r="E47" s="529"/>
      <c r="F47" s="530">
        <f t="shared" si="6"/>
        <v>0</v>
      </c>
      <c r="G47" s="530"/>
      <c r="H47" s="530"/>
      <c r="I47" s="530">
        <f t="shared" si="7"/>
        <v>0</v>
      </c>
      <c r="J47" s="530">
        <f t="shared" si="7"/>
        <v>0</v>
      </c>
      <c r="K47" s="530">
        <f t="shared" si="7"/>
        <v>0</v>
      </c>
      <c r="L47" s="531">
        <f t="shared" si="7"/>
        <v>0</v>
      </c>
      <c r="M47" s="532"/>
      <c r="N47" s="529"/>
      <c r="O47" s="530">
        <f t="shared" si="15"/>
        <v>0</v>
      </c>
      <c r="P47" s="530">
        <f t="shared" si="15"/>
        <v>0</v>
      </c>
      <c r="Q47" s="530">
        <f t="shared" si="15"/>
        <v>0</v>
      </c>
      <c r="R47" s="530">
        <f t="shared" si="15"/>
        <v>0</v>
      </c>
      <c r="S47" s="530">
        <f t="shared" si="15"/>
        <v>0</v>
      </c>
      <c r="T47" s="530">
        <f t="shared" si="15"/>
        <v>0</v>
      </c>
      <c r="U47" s="530">
        <f t="shared" si="15"/>
        <v>0</v>
      </c>
      <c r="V47" s="532">
        <f t="shared" si="15"/>
        <v>0</v>
      </c>
      <c r="W47" s="509"/>
      <c r="X47" s="527">
        <f t="shared" si="9"/>
        <v>0</v>
      </c>
      <c r="Y47" s="510"/>
      <c r="Z47" s="510"/>
      <c r="AA47" s="510">
        <f t="shared" si="10"/>
        <v>0</v>
      </c>
      <c r="AB47" s="510">
        <f t="shared" si="10"/>
        <v>0</v>
      </c>
      <c r="AC47" s="510">
        <f t="shared" si="10"/>
        <v>0</v>
      </c>
      <c r="AD47" s="511">
        <f t="shared" si="10"/>
        <v>0</v>
      </c>
      <c r="AE47" s="512"/>
      <c r="AF47" s="509"/>
      <c r="AG47" s="510">
        <f t="shared" si="16"/>
        <v>0</v>
      </c>
      <c r="AH47" s="510">
        <f t="shared" si="16"/>
        <v>0</v>
      </c>
      <c r="AI47" s="510">
        <f t="shared" si="16"/>
        <v>0</v>
      </c>
      <c r="AJ47" s="510">
        <f t="shared" si="16"/>
        <v>0</v>
      </c>
      <c r="AK47" s="510">
        <f t="shared" si="16"/>
        <v>0</v>
      </c>
      <c r="AL47" s="510">
        <f t="shared" si="16"/>
        <v>0</v>
      </c>
      <c r="AM47" s="510">
        <f t="shared" si="16"/>
        <v>0</v>
      </c>
      <c r="AN47" s="512">
        <f t="shared" si="16"/>
        <v>0</v>
      </c>
      <c r="AQ47" s="828"/>
    </row>
    <row r="48" spans="1:43">
      <c r="A48" t="b">
        <f t="shared" si="12"/>
        <v>0</v>
      </c>
      <c r="B48" t="s">
        <v>432</v>
      </c>
      <c r="C48" t="s">
        <v>48</v>
      </c>
      <c r="D48" t="s">
        <v>96</v>
      </c>
      <c r="E48" s="529"/>
      <c r="F48" s="530">
        <f t="shared" si="6"/>
        <v>0.11459247156786923</v>
      </c>
      <c r="G48" s="530"/>
      <c r="H48" s="530"/>
      <c r="I48" s="530">
        <f t="shared" si="7"/>
        <v>3.3607501648346165E-3</v>
      </c>
      <c r="J48" s="530">
        <f t="shared" si="7"/>
        <v>2.1399581325847865E-5</v>
      </c>
      <c r="K48" s="530">
        <f t="shared" si="7"/>
        <v>2.2861301976674099E-4</v>
      </c>
      <c r="L48" s="531">
        <f t="shared" si="7"/>
        <v>1.72284731414371E-5</v>
      </c>
      <c r="M48" s="532"/>
      <c r="N48" s="529"/>
      <c r="O48" s="530">
        <f t="shared" si="15"/>
        <v>2.0497575196746054E-2</v>
      </c>
      <c r="P48" s="530">
        <f t="shared" si="15"/>
        <v>4.9890200277122318E-6</v>
      </c>
      <c r="Q48" s="530">
        <f t="shared" si="15"/>
        <v>0</v>
      </c>
      <c r="R48" s="530">
        <f t="shared" si="15"/>
        <v>2.348194040564562E-4</v>
      </c>
      <c r="S48" s="530">
        <f t="shared" si="15"/>
        <v>6.8217364025736344E-6</v>
      </c>
      <c r="T48" s="530">
        <f t="shared" si="15"/>
        <v>1.8557790564265885E-5</v>
      </c>
      <c r="U48" s="530">
        <f t="shared" si="15"/>
        <v>5.7434773436463378E-4</v>
      </c>
      <c r="V48" s="532">
        <f t="shared" si="15"/>
        <v>2.0703317934038578E-5</v>
      </c>
      <c r="W48" s="509"/>
      <c r="X48" s="527">
        <f t="shared" si="9"/>
        <v>8.2377963498640066E-4</v>
      </c>
      <c r="Y48" s="510"/>
      <c r="Z48" s="510"/>
      <c r="AA48" s="510">
        <f t="shared" si="10"/>
        <v>1.58412191065667E-6</v>
      </c>
      <c r="AB48" s="510">
        <f t="shared" si="10"/>
        <v>2.1693554046857001E-8</v>
      </c>
      <c r="AC48" s="510">
        <f t="shared" si="10"/>
        <v>1.0353744796856998E-8</v>
      </c>
      <c r="AD48" s="511">
        <f t="shared" si="10"/>
        <v>2.0477881136019998E-9</v>
      </c>
      <c r="AE48" s="512"/>
      <c r="AF48" s="509"/>
      <c r="AG48" s="510">
        <f t="shared" si="16"/>
        <v>1.4735248121148226E-4</v>
      </c>
      <c r="AH48" s="510">
        <f t="shared" si="16"/>
        <v>1.1892301605249863E-7</v>
      </c>
      <c r="AI48" s="510">
        <f t="shared" si="16"/>
        <v>0</v>
      </c>
      <c r="AJ48" s="510">
        <f t="shared" si="16"/>
        <v>3.3964596747787448E-7</v>
      </c>
      <c r="AK48" s="510">
        <f t="shared" si="16"/>
        <v>1.240185273692978E-8</v>
      </c>
      <c r="AL48" s="510">
        <f t="shared" si="16"/>
        <v>7.6080174670213893E-9</v>
      </c>
      <c r="AM48" s="510">
        <f t="shared" si="16"/>
        <v>1.7632489900182018E-7</v>
      </c>
      <c r="AN48" s="512">
        <f t="shared" si="16"/>
        <v>8.7708755422796727E-8</v>
      </c>
      <c r="AQ48" s="828"/>
    </row>
    <row r="49" spans="1:43">
      <c r="A49" t="b">
        <f t="shared" si="12"/>
        <v>0</v>
      </c>
      <c r="B49" t="s">
        <v>432</v>
      </c>
      <c r="C49" t="s">
        <v>48</v>
      </c>
      <c r="D49" t="s">
        <v>50</v>
      </c>
      <c r="E49" s="529"/>
      <c r="F49" s="530">
        <f t="shared" si="6"/>
        <v>0.1219146502297787</v>
      </c>
      <c r="G49" s="530"/>
      <c r="H49" s="530"/>
      <c r="I49" s="530">
        <f t="shared" si="7"/>
        <v>2.4457775869838397E-3</v>
      </c>
      <c r="J49" s="530">
        <f t="shared" si="7"/>
        <v>3.0034306379942945E-4</v>
      </c>
      <c r="K49" s="530">
        <f t="shared" si="7"/>
        <v>4.0700281484014715E-3</v>
      </c>
      <c r="L49" s="531">
        <f t="shared" si="7"/>
        <v>8.4681765049650262E-2</v>
      </c>
      <c r="M49" s="532"/>
      <c r="N49" s="529"/>
      <c r="O49" s="530">
        <f t="shared" si="15"/>
        <v>6.0894319303488459E-3</v>
      </c>
      <c r="P49" s="530">
        <f t="shared" si="15"/>
        <v>1.1162997985770159E-6</v>
      </c>
      <c r="Q49" s="530">
        <f t="shared" si="15"/>
        <v>0</v>
      </c>
      <c r="R49" s="530">
        <f t="shared" si="15"/>
        <v>1.0157583653631075E-4</v>
      </c>
      <c r="S49" s="530">
        <f t="shared" si="15"/>
        <v>9.4868807509086923E-4</v>
      </c>
      <c r="T49" s="530">
        <f t="shared" si="15"/>
        <v>9.128496086454115E-4</v>
      </c>
      <c r="U49" s="530">
        <f t="shared" si="15"/>
        <v>1.3672954698784465E-4</v>
      </c>
      <c r="V49" s="532">
        <f t="shared" si="15"/>
        <v>1.6014323324856064E-5</v>
      </c>
      <c r="W49" s="509"/>
      <c r="X49" s="527">
        <f t="shared" si="9"/>
        <v>8.764171388545368E-4</v>
      </c>
      <c r="Y49" s="510"/>
      <c r="Z49" s="510"/>
      <c r="AA49" s="510">
        <f t="shared" si="10"/>
        <v>1.9015286146726102E-6</v>
      </c>
      <c r="AB49" s="510">
        <f t="shared" si="10"/>
        <v>5.3876431649964004E-7</v>
      </c>
      <c r="AC49" s="510">
        <f t="shared" si="10"/>
        <v>3.5614004511192801E-7</v>
      </c>
      <c r="AD49" s="511">
        <f t="shared" si="10"/>
        <v>1.1248863979815E-5</v>
      </c>
      <c r="AE49" s="512"/>
      <c r="AF49" s="509"/>
      <c r="AG49" s="510">
        <f t="shared" si="16"/>
        <v>4.3775563474833423E-5</v>
      </c>
      <c r="AH49" s="510">
        <f t="shared" si="16"/>
        <v>2.470476172585185E-8</v>
      </c>
      <c r="AI49" s="510">
        <f t="shared" si="16"/>
        <v>0</v>
      </c>
      <c r="AJ49" s="510">
        <f t="shared" si="16"/>
        <v>1.3702761778539215E-7</v>
      </c>
      <c r="AK49" s="510">
        <f t="shared" si="16"/>
        <v>1.6012687690697899E-6</v>
      </c>
      <c r="AL49" s="510">
        <f t="shared" si="16"/>
        <v>3.9860751674874794E-7</v>
      </c>
      <c r="AM49" s="510">
        <f t="shared" si="16"/>
        <v>6.7506906911062987E-8</v>
      </c>
      <c r="AN49" s="512">
        <f t="shared" si="16"/>
        <v>7.2278330962484001E-8</v>
      </c>
      <c r="AQ49" s="828"/>
    </row>
    <row r="50" spans="1:43">
      <c r="A50" t="b">
        <f t="shared" si="12"/>
        <v>0</v>
      </c>
      <c r="B50" t="s">
        <v>432</v>
      </c>
      <c r="C50" t="s">
        <v>48</v>
      </c>
      <c r="D50" t="s">
        <v>434</v>
      </c>
      <c r="E50" s="529"/>
      <c r="F50" s="530">
        <f t="shared" si="6"/>
        <v>8.0102793073238393E-2</v>
      </c>
      <c r="G50" s="530"/>
      <c r="H50" s="530"/>
      <c r="I50" s="530">
        <f t="shared" si="7"/>
        <v>1.3688242521230113E-3</v>
      </c>
      <c r="J50" s="530">
        <f t="shared" si="7"/>
        <v>6.8075759159203628E-5</v>
      </c>
      <c r="K50" s="530">
        <f t="shared" si="7"/>
        <v>1.2004725247417205E-3</v>
      </c>
      <c r="L50" s="531">
        <f t="shared" si="7"/>
        <v>1.5503538941594274E-2</v>
      </c>
      <c r="M50" s="532"/>
      <c r="N50" s="529"/>
      <c r="O50" s="530">
        <f t="shared" si="15"/>
        <v>5.1615216515456834E-3</v>
      </c>
      <c r="P50" s="530">
        <f t="shared" si="15"/>
        <v>1.0453645766968146E-6</v>
      </c>
      <c r="Q50" s="530">
        <f t="shared" si="15"/>
        <v>0</v>
      </c>
      <c r="R50" s="530">
        <f t="shared" si="15"/>
        <v>7.7473562278015606E-5</v>
      </c>
      <c r="S50" s="530">
        <f t="shared" si="15"/>
        <v>5.4751910108564008E-4</v>
      </c>
      <c r="T50" s="530">
        <f t="shared" si="15"/>
        <v>5.2780138071802432E-4</v>
      </c>
      <c r="U50" s="530">
        <f t="shared" si="15"/>
        <v>1.2508323117053162E-4</v>
      </c>
      <c r="V50" s="532">
        <f t="shared" si="15"/>
        <v>1.0900324077016369E-5</v>
      </c>
      <c r="W50" s="509"/>
      <c r="X50" s="527">
        <f t="shared" si="9"/>
        <v>5.7584105427189081E-4</v>
      </c>
      <c r="Y50" s="510"/>
      <c r="Z50" s="510"/>
      <c r="AA50" s="510">
        <f t="shared" si="10"/>
        <v>8.7188560351180753E-7</v>
      </c>
      <c r="AB50" s="510">
        <f t="shared" si="10"/>
        <v>1.4343866084981135E-7</v>
      </c>
      <c r="AC50" s="510">
        <f t="shared" si="10"/>
        <v>1.1904916889461669E-7</v>
      </c>
      <c r="AD50" s="511">
        <f t="shared" si="10"/>
        <v>2.3918594774326875E-6</v>
      </c>
      <c r="AE50" s="512"/>
      <c r="AF50" s="509"/>
      <c r="AG50" s="510">
        <f t="shared" si="16"/>
        <v>3.7105024125135583E-5</v>
      </c>
      <c r="AH50" s="510">
        <f t="shared" si="16"/>
        <v>2.3820301640917953E-8</v>
      </c>
      <c r="AI50" s="510">
        <f t="shared" si="16"/>
        <v>0</v>
      </c>
      <c r="AJ50" s="510">
        <f t="shared" si="16"/>
        <v>1.0635493504255248E-7</v>
      </c>
      <c r="AK50" s="510">
        <f t="shared" si="16"/>
        <v>9.2421636729878076E-7</v>
      </c>
      <c r="AL50" s="510">
        <f t="shared" si="16"/>
        <v>2.3043135781501572E-7</v>
      </c>
      <c r="AM50" s="510">
        <f t="shared" si="16"/>
        <v>5.3120522929556187E-8</v>
      </c>
      <c r="AN50" s="512">
        <f t="shared" si="16"/>
        <v>4.8735392492410731E-8</v>
      </c>
      <c r="AQ50" s="828"/>
    </row>
    <row r="51" spans="1:43">
      <c r="A51" t="b">
        <f t="shared" si="12"/>
        <v>0</v>
      </c>
      <c r="B51" t="s">
        <v>433</v>
      </c>
      <c r="C51" t="s">
        <v>48</v>
      </c>
      <c r="D51" t="s">
        <v>432</v>
      </c>
      <c r="E51" s="529"/>
      <c r="F51" s="530">
        <f t="shared" si="6"/>
        <v>0</v>
      </c>
      <c r="G51" s="530"/>
      <c r="H51" s="530"/>
      <c r="I51" s="530">
        <f t="shared" si="7"/>
        <v>0</v>
      </c>
      <c r="J51" s="530">
        <f t="shared" si="7"/>
        <v>0</v>
      </c>
      <c r="K51" s="530">
        <f t="shared" si="7"/>
        <v>0</v>
      </c>
      <c r="L51" s="531">
        <f t="shared" si="7"/>
        <v>0</v>
      </c>
      <c r="M51" s="532"/>
      <c r="N51" s="529"/>
      <c r="O51" s="530">
        <f t="shared" si="15"/>
        <v>0</v>
      </c>
      <c r="P51" s="530">
        <f t="shared" si="15"/>
        <v>0</v>
      </c>
      <c r="Q51" s="530">
        <f t="shared" si="15"/>
        <v>0</v>
      </c>
      <c r="R51" s="530">
        <f t="shared" si="15"/>
        <v>0</v>
      </c>
      <c r="S51" s="530">
        <f t="shared" si="15"/>
        <v>0</v>
      </c>
      <c r="T51" s="530">
        <f t="shared" si="15"/>
        <v>0</v>
      </c>
      <c r="U51" s="530">
        <f t="shared" si="15"/>
        <v>0</v>
      </c>
      <c r="V51" s="532">
        <f t="shared" si="15"/>
        <v>0</v>
      </c>
      <c r="W51" s="509"/>
      <c r="X51" s="527">
        <f t="shared" si="9"/>
        <v>0</v>
      </c>
      <c r="Y51" s="510"/>
      <c r="Z51" s="510"/>
      <c r="AA51" s="510">
        <f t="shared" si="10"/>
        <v>0</v>
      </c>
      <c r="AB51" s="510">
        <f t="shared" si="10"/>
        <v>0</v>
      </c>
      <c r="AC51" s="510">
        <f t="shared" si="10"/>
        <v>0</v>
      </c>
      <c r="AD51" s="511">
        <f t="shared" si="10"/>
        <v>0</v>
      </c>
      <c r="AE51" s="512"/>
      <c r="AF51" s="509"/>
      <c r="AG51" s="510">
        <f t="shared" si="16"/>
        <v>0</v>
      </c>
      <c r="AH51" s="510">
        <f t="shared" si="16"/>
        <v>0</v>
      </c>
      <c r="AI51" s="510">
        <f t="shared" si="16"/>
        <v>0</v>
      </c>
      <c r="AJ51" s="510">
        <f t="shared" si="16"/>
        <v>0</v>
      </c>
      <c r="AK51" s="510">
        <f t="shared" si="16"/>
        <v>0</v>
      </c>
      <c r="AL51" s="510">
        <f t="shared" si="16"/>
        <v>0</v>
      </c>
      <c r="AM51" s="510">
        <f t="shared" si="16"/>
        <v>0</v>
      </c>
      <c r="AN51" s="512">
        <f t="shared" si="16"/>
        <v>0</v>
      </c>
      <c r="AQ51" s="828"/>
    </row>
    <row r="52" spans="1:43">
      <c r="A52" t="b">
        <f t="shared" si="12"/>
        <v>0</v>
      </c>
      <c r="B52" t="s">
        <v>433</v>
      </c>
      <c r="C52" t="s">
        <v>48</v>
      </c>
      <c r="D52" t="s">
        <v>96</v>
      </c>
      <c r="E52" s="529"/>
      <c r="F52" s="530">
        <f t="shared" si="6"/>
        <v>0.12007101983902979</v>
      </c>
      <c r="G52" s="530"/>
      <c r="H52" s="530"/>
      <c r="I52" s="530">
        <f t="shared" si="7"/>
        <v>8.142915622641576E-3</v>
      </c>
      <c r="J52" s="530">
        <f t="shared" si="7"/>
        <v>6.1196553644547134E-5</v>
      </c>
      <c r="K52" s="530">
        <f t="shared" si="7"/>
        <v>1.4092405234699254E-3</v>
      </c>
      <c r="L52" s="531">
        <f t="shared" si="7"/>
        <v>3.8254636033734481E-4</v>
      </c>
      <c r="M52" s="532"/>
      <c r="N52" s="529"/>
      <c r="O52" s="530">
        <f t="shared" si="15"/>
        <v>2.1541848144148754E-2</v>
      </c>
      <c r="P52" s="530">
        <f t="shared" si="15"/>
        <v>2.5528233080805677E-5</v>
      </c>
      <c r="Q52" s="530">
        <f t="shared" si="15"/>
        <v>0</v>
      </c>
      <c r="R52" s="530">
        <f t="shared" si="15"/>
        <v>1.3825500641673125E-3</v>
      </c>
      <c r="S52" s="530">
        <f t="shared" si="15"/>
        <v>3.4906028825980368E-5</v>
      </c>
      <c r="T52" s="530">
        <f t="shared" si="15"/>
        <v>1.456156478518378E-4</v>
      </c>
      <c r="U52" s="530">
        <f t="shared" si="15"/>
        <v>7.6340679326297072E-4</v>
      </c>
      <c r="V52" s="532">
        <f t="shared" si="15"/>
        <v>1.6289259883033949E-4</v>
      </c>
      <c r="W52" s="509"/>
      <c r="X52" s="527">
        <f t="shared" si="9"/>
        <v>8.6316369253680494E-4</v>
      </c>
      <c r="Y52" s="510"/>
      <c r="Z52" s="510"/>
      <c r="AA52" s="510">
        <f t="shared" si="10"/>
        <v>3.3302611191765299E-6</v>
      </c>
      <c r="AB52" s="510">
        <f t="shared" si="10"/>
        <v>1.4806384401801301E-7</v>
      </c>
      <c r="AC52" s="510">
        <f t="shared" si="10"/>
        <v>1.4806384401801301E-7</v>
      </c>
      <c r="AD52" s="511">
        <f t="shared" si="10"/>
        <v>5.4055056325269997E-8</v>
      </c>
      <c r="AE52" s="512"/>
      <c r="AF52" s="509"/>
      <c r="AG52" s="510">
        <f t="shared" si="16"/>
        <v>1.5485952574649842E-4</v>
      </c>
      <c r="AH52" s="510">
        <f t="shared" si="16"/>
        <v>1.2498168822689689E-7</v>
      </c>
      <c r="AI52" s="510">
        <f t="shared" si="16"/>
        <v>0</v>
      </c>
      <c r="AJ52" s="510">
        <f t="shared" si="16"/>
        <v>3.5694962862448013E-7</v>
      </c>
      <c r="AK52" s="510">
        <f t="shared" si="16"/>
        <v>1.3033679632869347E-8</v>
      </c>
      <c r="AL52" s="510">
        <f t="shared" si="16"/>
        <v>7.9956168170868957E-9</v>
      </c>
      <c r="AM52" s="510">
        <f t="shared" si="16"/>
        <v>1.8530797725442951E-7</v>
      </c>
      <c r="AN52" s="512">
        <f t="shared" si="16"/>
        <v>9.217718057353977E-8</v>
      </c>
      <c r="AQ52" s="828"/>
    </row>
    <row r="53" spans="1:43">
      <c r="A53" t="b">
        <f t="shared" si="12"/>
        <v>0</v>
      </c>
      <c r="B53" t="s">
        <v>433</v>
      </c>
      <c r="C53" t="s">
        <v>48</v>
      </c>
      <c r="D53" t="s">
        <v>50</v>
      </c>
      <c r="E53" s="529"/>
      <c r="F53" s="530">
        <f t="shared" si="6"/>
        <v>0.13845887817469052</v>
      </c>
      <c r="G53" s="530"/>
      <c r="H53" s="530"/>
      <c r="I53" s="530">
        <f t="shared" si="7"/>
        <v>2.0231517428805539E-3</v>
      </c>
      <c r="J53" s="530">
        <f t="shared" si="7"/>
        <v>3.9650337393712289E-4</v>
      </c>
      <c r="K53" s="530">
        <f t="shared" si="7"/>
        <v>5.5969814700385836E-3</v>
      </c>
      <c r="L53" s="531">
        <f t="shared" si="7"/>
        <v>6.6287997036540994E-2</v>
      </c>
      <c r="M53" s="532"/>
      <c r="N53" s="529"/>
      <c r="O53" s="530">
        <f t="shared" ref="O53:V54" si="17">O105*USD_BaseYear/USD_2000/1000</f>
        <v>6.9012978578267097E-3</v>
      </c>
      <c r="P53" s="530">
        <f t="shared" si="17"/>
        <v>7.6917723451627901E-6</v>
      </c>
      <c r="Q53" s="530">
        <f t="shared" si="17"/>
        <v>0</v>
      </c>
      <c r="R53" s="530">
        <f t="shared" si="17"/>
        <v>2.316763560526087E-4</v>
      </c>
      <c r="S53" s="530">
        <f t="shared" si="17"/>
        <v>6.5368574906772454E-3</v>
      </c>
      <c r="T53" s="530">
        <f t="shared" si="17"/>
        <v>1.1850279790296799E-2</v>
      </c>
      <c r="U53" s="530">
        <f t="shared" si="17"/>
        <v>9.3609668203278298E-4</v>
      </c>
      <c r="V53" s="532">
        <f t="shared" si="17"/>
        <v>2.0602696073409579E-4</v>
      </c>
      <c r="W53" s="509"/>
      <c r="X53" s="527">
        <f t="shared" si="9"/>
        <v>9.9534989133923525E-4</v>
      </c>
      <c r="Y53" s="510"/>
      <c r="Z53" s="510"/>
      <c r="AA53" s="510">
        <f t="shared" si="10"/>
        <v>2.4651248454678995E-6</v>
      </c>
      <c r="AB53" s="510">
        <f t="shared" si="10"/>
        <v>1.12405405598255E-6</v>
      </c>
      <c r="AC53" s="510">
        <f t="shared" si="10"/>
        <v>7.0736641479812E-7</v>
      </c>
      <c r="AD53" s="511">
        <f t="shared" si="10"/>
        <v>1.1865690636006899E-5</v>
      </c>
      <c r="AE53" s="512"/>
      <c r="AF53" s="509"/>
      <c r="AG53" s="510">
        <f t="shared" ref="AG53:AN54" si="18">AG105*lb_to_mt/1000</f>
        <v>4.9611885950865408E-5</v>
      </c>
      <c r="AH53" s="510">
        <f t="shared" si="18"/>
        <v>2.7998493312162464E-8</v>
      </c>
      <c r="AI53" s="510">
        <f t="shared" si="18"/>
        <v>0</v>
      </c>
      <c r="AJ53" s="510">
        <f t="shared" si="18"/>
        <v>1.5529665425314139E-7</v>
      </c>
      <c r="AK53" s="510">
        <f t="shared" si="18"/>
        <v>1.8147559332604422E-6</v>
      </c>
      <c r="AL53" s="510">
        <f t="shared" si="18"/>
        <v>4.51751367437351E-7</v>
      </c>
      <c r="AM53" s="510">
        <f t="shared" si="18"/>
        <v>7.6507181192373881E-8</v>
      </c>
      <c r="AN53" s="512">
        <f t="shared" si="18"/>
        <v>8.191474941244728E-8</v>
      </c>
      <c r="AQ53" s="828"/>
    </row>
    <row r="54" spans="1:43">
      <c r="A54" t="b">
        <f t="shared" si="12"/>
        <v>0</v>
      </c>
      <c r="B54" s="218" t="s">
        <v>433</v>
      </c>
      <c r="C54" s="218" t="s">
        <v>48</v>
      </c>
      <c r="D54" s="218" t="s">
        <v>434</v>
      </c>
      <c r="E54" s="533"/>
      <c r="F54" s="534">
        <f t="shared" si="6"/>
        <v>8.0102793073238379E-2</v>
      </c>
      <c r="G54" s="534"/>
      <c r="H54" s="534"/>
      <c r="I54" s="534">
        <f t="shared" si="7"/>
        <v>1.3688242521230113E-3</v>
      </c>
      <c r="J54" s="534">
        <f t="shared" si="7"/>
        <v>6.8075759159203601E-5</v>
      </c>
      <c r="K54" s="534">
        <f t="shared" si="7"/>
        <v>1.2004725247417205E-3</v>
      </c>
      <c r="L54" s="535">
        <f t="shared" si="7"/>
        <v>1.5503538941594276E-2</v>
      </c>
      <c r="M54" s="536"/>
      <c r="N54" s="533"/>
      <c r="O54" s="534">
        <f t="shared" si="17"/>
        <v>4.3090803496429299E-3</v>
      </c>
      <c r="P54" s="534">
        <f t="shared" si="17"/>
        <v>7.8993009222832604E-7</v>
      </c>
      <c r="Q54" s="534">
        <f t="shared" si="17"/>
        <v>0</v>
      </c>
      <c r="R54" s="534">
        <f t="shared" si="17"/>
        <v>7.1878369973352131E-5</v>
      </c>
      <c r="S54" s="534">
        <f t="shared" si="17"/>
        <v>6.7132257804554288E-4</v>
      </c>
      <c r="T54" s="534">
        <f t="shared" si="17"/>
        <v>6.459621120303476E-4</v>
      </c>
      <c r="U54" s="534">
        <f t="shared" si="17"/>
        <v>9.6754280346664071E-5</v>
      </c>
      <c r="V54" s="536">
        <f t="shared" si="17"/>
        <v>1.1332256726287499E-5</v>
      </c>
      <c r="W54" s="513"/>
      <c r="X54" s="527">
        <f t="shared" si="9"/>
        <v>5.7584105427189081E-4</v>
      </c>
      <c r="Y54" s="514"/>
      <c r="Z54" s="514"/>
      <c r="AA54" s="514">
        <f t="shared" si="10"/>
        <v>8.7188560351180774E-7</v>
      </c>
      <c r="AB54" s="514">
        <f t="shared" si="10"/>
        <v>1.434386608498113E-7</v>
      </c>
      <c r="AC54" s="514">
        <f t="shared" si="10"/>
        <v>1.1904916889461669E-7</v>
      </c>
      <c r="AD54" s="515">
        <f t="shared" si="10"/>
        <v>2.3918594774326883E-6</v>
      </c>
      <c r="AE54" s="516"/>
      <c r="AF54" s="513"/>
      <c r="AG54" s="514">
        <f t="shared" si="18"/>
        <v>3.7105024125135576E-5</v>
      </c>
      <c r="AH54" s="514">
        <f t="shared" si="18"/>
        <v>2.3820301640917956E-8</v>
      </c>
      <c r="AI54" s="514">
        <f t="shared" si="18"/>
        <v>0</v>
      </c>
      <c r="AJ54" s="514">
        <f t="shared" si="18"/>
        <v>1.0635493504255252E-7</v>
      </c>
      <c r="AK54" s="514">
        <f t="shared" si="18"/>
        <v>9.2421636729878076E-7</v>
      </c>
      <c r="AL54" s="514">
        <f t="shared" si="18"/>
        <v>2.3043135781501572E-7</v>
      </c>
      <c r="AM54" s="514">
        <f t="shared" si="18"/>
        <v>5.3120522929556174E-8</v>
      </c>
      <c r="AN54" s="516">
        <f t="shared" si="18"/>
        <v>4.8735392492410744E-8</v>
      </c>
      <c r="AQ54" s="828"/>
    </row>
    <row r="55" spans="1:43">
      <c r="A55" s="520" t="s">
        <v>409</v>
      </c>
      <c r="B55" s="520" t="str">
        <f>SUMMARY!B8</f>
        <v>5% best</v>
      </c>
      <c r="C55" s="520" t="str">
        <f>Valuation!B9</f>
        <v>Medium</v>
      </c>
      <c r="D55" s="520" t="str">
        <f>SUMMARY!B7</f>
        <v>Weighted Average</v>
      </c>
      <c r="E55" s="537"/>
      <c r="F55" s="537">
        <f t="array" ref="F55">SUM(IF($A23:$A54,F23:F54))</f>
        <v>2.4030837921971526E-2</v>
      </c>
      <c r="G55" s="537"/>
      <c r="H55" s="537"/>
      <c r="I55" s="537">
        <f t="array" ref="I55">SUM(IF($A23:$A54,I23:I54))</f>
        <v>1.3688242521230111E-3</v>
      </c>
      <c r="J55" s="537">
        <f t="array" ref="J55">SUM(IF($A23:$A54,J23:J54))</f>
        <v>6.8075759159203628E-5</v>
      </c>
      <c r="K55" s="537">
        <f t="array" ref="K55">SUM(IF($A23:$A54,K23:K54))</f>
        <v>1.2004725247417203E-3</v>
      </c>
      <c r="L55" s="537">
        <f t="array" ref="L55">SUM(IF($A23:$A54,L23:L54))</f>
        <v>1.550353894159427E-2</v>
      </c>
      <c r="M55" s="537"/>
      <c r="N55" s="537"/>
      <c r="O55" s="537">
        <f t="array" ref="O55">SUM(IF($A23:$A54,O23:O54))</f>
        <v>1.5484564954637043E-3</v>
      </c>
      <c r="P55" s="537">
        <f t="array" ref="P55">SUM(IF($A23:$A54,P23:P54))</f>
        <v>1.0453645766968148E-6</v>
      </c>
      <c r="Q55" s="537">
        <f t="array" ref="Q55">SUM(IF($A23:$A54,Q23:Q54))</f>
        <v>0</v>
      </c>
      <c r="R55" s="537">
        <f t="array" ref="R55">SUM(IF($A23:$A54,R23:R54))</f>
        <v>7.747356227801562E-5</v>
      </c>
      <c r="S55" s="537">
        <f t="array" ref="S55">SUM(IF($A23:$A54,S23:S54))</f>
        <v>5.4751910108563975E-4</v>
      </c>
      <c r="T55" s="537">
        <f t="array" ref="T55">SUM(IF($A23:$A54,T23:T54))</f>
        <v>5.2780138071802432E-4</v>
      </c>
      <c r="U55" s="537">
        <f t="array" ref="U55">SUM(IF($A23:$A54,U23:U54))</f>
        <v>1.2508323117053156E-4</v>
      </c>
      <c r="V55" s="537">
        <f t="array" ref="V55">SUM(IF($A23:$A54,V23:V54))</f>
        <v>1.0900324077016369E-5</v>
      </c>
      <c r="W55" s="650"/>
      <c r="X55" s="650">
        <f t="array" ref="X55">SUM(IF($A23:$A54,X23:X54))</f>
        <v>5.758410542718907E-4</v>
      </c>
      <c r="Y55" s="650"/>
      <c r="Z55" s="650"/>
      <c r="AA55" s="650">
        <f t="array" ref="AA55">SUM(IF($A23:$A54,AA23:AA54))</f>
        <v>8.718856035118071E-7</v>
      </c>
      <c r="AB55" s="650">
        <f t="array" ref="AB55">SUM(IF($A23:$A54,AB23:AB54))</f>
        <v>1.4343866084981127E-7</v>
      </c>
      <c r="AC55" s="650">
        <f t="array" ref="AC55">SUM(IF($A23:$A54,AC23:AC54))</f>
        <v>1.1904916889461669E-7</v>
      </c>
      <c r="AD55" s="650">
        <f t="array" ref="AD55">SUM(IF($A23:$A54,AD23:AD54))</f>
        <v>2.3918594774326909E-6</v>
      </c>
      <c r="AE55" s="650"/>
      <c r="AF55" s="650"/>
      <c r="AG55" s="650">
        <f t="array" ref="AG55">SUM(IF($A23:$A54,AG23:AG54))</f>
        <v>3.7105024125135569E-5</v>
      </c>
      <c r="AH55" s="650">
        <f t="array" ref="AH55">SUM(IF($A23:$A54,AH23:AH54))</f>
        <v>2.3820301640917946E-8</v>
      </c>
      <c r="AI55" s="650">
        <f t="array" ref="AI55">SUM(IF($A23:$A54,AI23:AI54))</f>
        <v>0</v>
      </c>
      <c r="AJ55" s="650">
        <f t="array" ref="AJ55">SUM(IF($A23:$A54,AJ23:AJ54))</f>
        <v>1.0635493504255254E-7</v>
      </c>
      <c r="AK55" s="650">
        <f t="array" ref="AK55">SUM(IF($A23:$A54,AK23:AK54))</f>
        <v>9.2421636729878087E-7</v>
      </c>
      <c r="AL55" s="650">
        <f t="array" ref="AL55">SUM(IF($A23:$A54,AL23:AL54))</f>
        <v>2.3043135781501566E-7</v>
      </c>
      <c r="AM55" s="650">
        <f t="array" ref="AM55">SUM(IF($A23:$A54,AM23:AM54))</f>
        <v>5.3120522929556174E-8</v>
      </c>
      <c r="AN55" s="650">
        <f t="array" ref="AN55">SUM(IF($A23:$A54,AN23:AN54))</f>
        <v>4.8735392492410717E-8</v>
      </c>
    </row>
    <row r="71" spans="2:40" ht="23.25">
      <c r="E71" s="59" t="s">
        <v>468</v>
      </c>
    </row>
    <row r="73" spans="2:40">
      <c r="E73" s="933" t="s">
        <v>464</v>
      </c>
      <c r="F73" s="934"/>
      <c r="G73" s="934"/>
      <c r="H73" s="934"/>
      <c r="I73" s="934"/>
      <c r="J73" s="934"/>
      <c r="K73" s="934"/>
      <c r="L73" s="934"/>
      <c r="M73" s="935"/>
      <c r="N73" s="933" t="s">
        <v>465</v>
      </c>
      <c r="O73" s="934"/>
      <c r="P73" s="934"/>
      <c r="Q73" s="934"/>
      <c r="R73" s="934"/>
      <c r="S73" s="934"/>
      <c r="T73" s="934"/>
      <c r="U73" s="934"/>
      <c r="V73" s="935"/>
      <c r="W73" s="933" t="s">
        <v>463</v>
      </c>
      <c r="X73" s="934"/>
      <c r="Y73" s="934"/>
      <c r="Z73" s="934"/>
      <c r="AA73" s="934"/>
      <c r="AB73" s="934"/>
      <c r="AC73" s="934"/>
      <c r="AD73" s="934"/>
      <c r="AE73" s="935"/>
      <c r="AF73" s="933" t="s">
        <v>462</v>
      </c>
      <c r="AG73" s="934"/>
      <c r="AH73" s="934"/>
      <c r="AI73" s="934"/>
      <c r="AJ73" s="934"/>
      <c r="AK73" s="934"/>
      <c r="AL73" s="934"/>
      <c r="AM73" s="934"/>
      <c r="AN73" s="935"/>
    </row>
    <row r="74" spans="2:40" ht="15.75" thickBot="1">
      <c r="E74" s="517" t="s">
        <v>59</v>
      </c>
      <c r="F74" s="46" t="s">
        <v>54</v>
      </c>
      <c r="G74" s="518" t="s">
        <v>2</v>
      </c>
      <c r="H74" s="518" t="s">
        <v>43</v>
      </c>
      <c r="I74" s="518" t="s">
        <v>25</v>
      </c>
      <c r="J74" s="518" t="s">
        <v>26</v>
      </c>
      <c r="K74" s="518" t="s">
        <v>27</v>
      </c>
      <c r="L74" s="518" t="s">
        <v>39</v>
      </c>
      <c r="M74" s="519" t="s">
        <v>3</v>
      </c>
      <c r="N74" s="517" t="s">
        <v>59</v>
      </c>
      <c r="O74" s="46" t="s">
        <v>54</v>
      </c>
      <c r="P74" s="518" t="s">
        <v>2</v>
      </c>
      <c r="Q74" s="518" t="s">
        <v>43</v>
      </c>
      <c r="R74" s="518" t="s">
        <v>25</v>
      </c>
      <c r="S74" s="518" t="s">
        <v>26</v>
      </c>
      <c r="T74" s="518" t="s">
        <v>27</v>
      </c>
      <c r="U74" s="518" t="s">
        <v>39</v>
      </c>
      <c r="V74" s="519" t="s">
        <v>3</v>
      </c>
      <c r="W74" s="517" t="s">
        <v>59</v>
      </c>
      <c r="X74" s="46" t="s">
        <v>54</v>
      </c>
      <c r="Y74" s="518" t="s">
        <v>2</v>
      </c>
      <c r="Z74" s="518" t="s">
        <v>43</v>
      </c>
      <c r="AA74" s="518" t="s">
        <v>25</v>
      </c>
      <c r="AB74" s="518" t="s">
        <v>26</v>
      </c>
      <c r="AC74" s="518" t="s">
        <v>27</v>
      </c>
      <c r="AD74" s="518" t="s">
        <v>39</v>
      </c>
      <c r="AE74" s="519" t="s">
        <v>3</v>
      </c>
      <c r="AF74" s="517" t="s">
        <v>59</v>
      </c>
      <c r="AG74" s="46" t="s">
        <v>54</v>
      </c>
      <c r="AH74" s="518" t="s">
        <v>2</v>
      </c>
      <c r="AI74" s="518" t="s">
        <v>43</v>
      </c>
      <c r="AJ74" s="518" t="s">
        <v>25</v>
      </c>
      <c r="AK74" s="518" t="s">
        <v>26</v>
      </c>
      <c r="AL74" s="518" t="s">
        <v>27</v>
      </c>
      <c r="AM74" s="518" t="s">
        <v>39</v>
      </c>
      <c r="AN74" s="519" t="s">
        <v>3</v>
      </c>
    </row>
    <row r="75" spans="2:40" ht="15.75" thickTop="1">
      <c r="B75" t="s">
        <v>432</v>
      </c>
      <c r="C75" t="s">
        <v>74</v>
      </c>
      <c r="D75" t="s">
        <v>432</v>
      </c>
      <c r="E75" s="521"/>
      <c r="F75" s="261">
        <v>0</v>
      </c>
      <c r="G75" s="261"/>
      <c r="H75" s="261"/>
      <c r="I75" s="261">
        <v>0</v>
      </c>
      <c r="J75" s="261">
        <v>0</v>
      </c>
      <c r="K75" s="261">
        <v>0</v>
      </c>
      <c r="L75" s="522">
        <v>0</v>
      </c>
      <c r="M75" s="523"/>
      <c r="N75" s="521"/>
      <c r="O75" s="261">
        <v>0</v>
      </c>
      <c r="P75" s="261">
        <v>0</v>
      </c>
      <c r="Q75" s="261"/>
      <c r="R75" s="261">
        <v>0</v>
      </c>
      <c r="S75" s="261">
        <v>0</v>
      </c>
      <c r="T75" s="261">
        <v>0</v>
      </c>
      <c r="U75" s="261">
        <v>0</v>
      </c>
      <c r="V75" s="523">
        <v>0</v>
      </c>
      <c r="W75" s="144"/>
      <c r="X75" s="469">
        <v>0</v>
      </c>
      <c r="Y75" s="469"/>
      <c r="Z75" s="469"/>
      <c r="AA75" s="469">
        <v>0</v>
      </c>
      <c r="AB75" s="469">
        <v>0</v>
      </c>
      <c r="AC75" s="469">
        <v>0</v>
      </c>
      <c r="AD75" s="468">
        <v>0</v>
      </c>
      <c r="AE75" s="374"/>
      <c r="AF75" s="144"/>
      <c r="AG75" s="469">
        <v>0</v>
      </c>
      <c r="AH75" s="469">
        <v>0</v>
      </c>
      <c r="AI75" s="469"/>
      <c r="AJ75" s="469">
        <v>0</v>
      </c>
      <c r="AK75" s="469">
        <v>0</v>
      </c>
      <c r="AL75" s="469">
        <v>0</v>
      </c>
      <c r="AM75" s="469">
        <v>0</v>
      </c>
      <c r="AN75" s="374">
        <v>0</v>
      </c>
    </row>
    <row r="76" spans="2:40">
      <c r="B76" t="s">
        <v>432</v>
      </c>
      <c r="C76" t="s">
        <v>74</v>
      </c>
      <c r="D76" t="s">
        <v>96</v>
      </c>
      <c r="E76" s="521"/>
      <c r="F76" s="261">
        <v>0</v>
      </c>
      <c r="G76" s="261"/>
      <c r="H76" s="261"/>
      <c r="I76" s="261">
        <v>1.1886000275413</v>
      </c>
      <c r="J76" s="261">
        <v>6.9199993690815004E-2</v>
      </c>
      <c r="K76" s="261">
        <v>1.0152000691230001</v>
      </c>
      <c r="L76" s="522">
        <v>2.05429975782075</v>
      </c>
      <c r="M76" s="523"/>
      <c r="N76" s="521"/>
      <c r="O76" s="261">
        <v>0</v>
      </c>
      <c r="P76" s="261">
        <v>8.961772330132728E-4</v>
      </c>
      <c r="Q76" s="261"/>
      <c r="R76" s="261">
        <v>8.1546151172076115E-2</v>
      </c>
      <c r="S76" s="261">
        <v>0.76161677643531911</v>
      </c>
      <c r="T76" s="261">
        <v>0.73284527819132539</v>
      </c>
      <c r="U76" s="261">
        <v>0.10976792009361899</v>
      </c>
      <c r="V76" s="523">
        <v>1.2856467397149017E-2</v>
      </c>
      <c r="W76" s="144"/>
      <c r="X76" s="469">
        <v>1972.9470261483</v>
      </c>
      <c r="Y76" s="469"/>
      <c r="Z76" s="469"/>
      <c r="AA76" s="469">
        <v>2.9716909999999999</v>
      </c>
      <c r="AB76" s="469">
        <v>0.41448030000000002</v>
      </c>
      <c r="AC76" s="469">
        <v>0.28240150000000003</v>
      </c>
      <c r="AD76" s="468">
        <v>0.72429690000000002</v>
      </c>
      <c r="AE76" s="374"/>
      <c r="AF76" s="144"/>
      <c r="AG76" s="469">
        <v>97.773201516638892</v>
      </c>
      <c r="AH76" s="469">
        <v>5.5178356482627818E-2</v>
      </c>
      <c r="AI76" s="469"/>
      <c r="AJ76" s="469">
        <v>0.30605268838580257</v>
      </c>
      <c r="AK76" s="469">
        <v>3.5764513717925728</v>
      </c>
      <c r="AL76" s="469">
        <v>0.89029426391114297</v>
      </c>
      <c r="AM76" s="469">
        <v>0.15077741756482232</v>
      </c>
      <c r="AN76" s="374">
        <v>0.161434445556458</v>
      </c>
    </row>
    <row r="77" spans="2:40">
      <c r="B77" t="s">
        <v>432</v>
      </c>
      <c r="C77" t="s">
        <v>74</v>
      </c>
      <c r="D77" t="s">
        <v>50</v>
      </c>
      <c r="E77" s="521"/>
      <c r="F77" s="261">
        <v>0</v>
      </c>
      <c r="G77" s="261"/>
      <c r="H77" s="261"/>
      <c r="I77" s="261">
        <v>3.2036002932569998</v>
      </c>
      <c r="J77" s="261">
        <v>0.16909998569900003</v>
      </c>
      <c r="K77" s="261">
        <v>2.9972009765385002</v>
      </c>
      <c r="L77" s="522">
        <v>58.541802370959992</v>
      </c>
      <c r="M77" s="523"/>
      <c r="N77" s="521"/>
      <c r="O77" s="261">
        <v>0</v>
      </c>
      <c r="P77" s="261">
        <v>8.9809840183939743E-4</v>
      </c>
      <c r="Q77" s="261"/>
      <c r="R77" s="261">
        <v>8.1720964722064957E-2</v>
      </c>
      <c r="S77" s="261">
        <v>0.76324948295188766</v>
      </c>
      <c r="T77" s="261">
        <v>0.73441630616544606</v>
      </c>
      <c r="U77" s="261">
        <v>0.11000323371064021</v>
      </c>
      <c r="V77" s="523">
        <v>1.2884028289646189E-2</v>
      </c>
      <c r="W77" s="144"/>
      <c r="X77" s="469">
        <v>1977.1770532764913</v>
      </c>
      <c r="Y77" s="469"/>
      <c r="Z77" s="469"/>
      <c r="AA77" s="469">
        <v>4.5840339999999999</v>
      </c>
      <c r="AB77" s="469">
        <v>1.2566440000000001</v>
      </c>
      <c r="AC77" s="469">
        <v>1.1007629999999999</v>
      </c>
      <c r="AD77" s="468">
        <v>25.632069999999999</v>
      </c>
      <c r="AE77" s="374"/>
      <c r="AF77" s="144"/>
      <c r="AG77" s="469">
        <v>97.982801604506093</v>
      </c>
      <c r="AH77" s="469">
        <v>5.5296644399845697E-2</v>
      </c>
      <c r="AI77" s="469"/>
      <c r="AJ77" s="469">
        <v>0.30670878503992249</v>
      </c>
      <c r="AK77" s="469">
        <v>3.5841183450546987</v>
      </c>
      <c r="AL77" s="469">
        <v>0.89220282119523353</v>
      </c>
      <c r="AM77" s="469">
        <v>0.15110064478332144</v>
      </c>
      <c r="AN77" s="374">
        <v>0.16178051864651291</v>
      </c>
    </row>
    <row r="78" spans="2:40">
      <c r="B78" t="s">
        <v>432</v>
      </c>
      <c r="C78" t="s">
        <v>74</v>
      </c>
      <c r="D78" t="s">
        <v>434</v>
      </c>
      <c r="E78" s="521"/>
      <c r="F78" s="261">
        <v>0</v>
      </c>
      <c r="G78" s="261"/>
      <c r="H78" s="261"/>
      <c r="I78" s="261">
        <v>1.0846932056704575</v>
      </c>
      <c r="J78" s="261">
        <v>5.3945065128938659E-2</v>
      </c>
      <c r="K78" s="261">
        <v>0.95128676246188015</v>
      </c>
      <c r="L78" s="522">
        <v>12.285421833893258</v>
      </c>
      <c r="M78" s="523"/>
      <c r="N78" s="521"/>
      <c r="O78" s="261">
        <v>0</v>
      </c>
      <c r="P78" s="261">
        <v>8.2837504671104314E-4</v>
      </c>
      <c r="Q78" s="261"/>
      <c r="R78" s="261">
        <v>6.1392137443294352E-2</v>
      </c>
      <c r="S78" s="261">
        <v>0.43386888273003743</v>
      </c>
      <c r="T78" s="261">
        <v>0.41824403002824539</v>
      </c>
      <c r="U78" s="261">
        <v>9.9119321405616023E-2</v>
      </c>
      <c r="V78" s="523">
        <v>8.6377103909488738E-3</v>
      </c>
      <c r="W78" s="144"/>
      <c r="X78" s="469">
        <v>1269.5122148370588</v>
      </c>
      <c r="Y78" s="469"/>
      <c r="Z78" s="469"/>
      <c r="AA78" s="469">
        <v>1.9221787251664026</v>
      </c>
      <c r="AB78" s="469">
        <v>0.31622811655718819</v>
      </c>
      <c r="AC78" s="469">
        <v>0.26245849085736739</v>
      </c>
      <c r="AD78" s="468">
        <v>5.2731475122314988</v>
      </c>
      <c r="AE78" s="374"/>
      <c r="AF78" s="144"/>
      <c r="AG78" s="469">
        <v>81.802575570518414</v>
      </c>
      <c r="AH78" s="469">
        <v>5.2514775856829156E-2</v>
      </c>
      <c r="AI78" s="469"/>
      <c r="AJ78" s="469">
        <v>0.23447249574006837</v>
      </c>
      <c r="AK78" s="469">
        <v>2.0375483108297883</v>
      </c>
      <c r="AL78" s="469">
        <v>0.50801418422231326</v>
      </c>
      <c r="AM78" s="469">
        <v>0.11711070653493609</v>
      </c>
      <c r="AN78" s="374">
        <v>0.10744314877344764</v>
      </c>
    </row>
    <row r="79" spans="2:40">
      <c r="B79" t="s">
        <v>433</v>
      </c>
      <c r="C79" t="s">
        <v>74</v>
      </c>
      <c r="D79" t="s">
        <v>432</v>
      </c>
      <c r="E79" s="521"/>
      <c r="F79" s="261">
        <v>0</v>
      </c>
      <c r="G79" s="261"/>
      <c r="H79" s="261"/>
      <c r="I79" s="261">
        <v>0</v>
      </c>
      <c r="J79" s="261">
        <v>0</v>
      </c>
      <c r="K79" s="261">
        <v>0</v>
      </c>
      <c r="L79" s="522">
        <v>0</v>
      </c>
      <c r="M79" s="523"/>
      <c r="N79" s="521"/>
      <c r="O79" s="261">
        <v>0</v>
      </c>
      <c r="P79" s="261">
        <v>0</v>
      </c>
      <c r="Q79" s="261"/>
      <c r="R79" s="261">
        <v>0</v>
      </c>
      <c r="S79" s="261">
        <v>0</v>
      </c>
      <c r="T79" s="261">
        <v>0</v>
      </c>
      <c r="U79" s="261">
        <v>0</v>
      </c>
      <c r="V79" s="523">
        <v>0</v>
      </c>
      <c r="W79" s="144"/>
      <c r="X79" s="469">
        <v>0</v>
      </c>
      <c r="Y79" s="469"/>
      <c r="Z79" s="469"/>
      <c r="AA79" s="469">
        <v>0</v>
      </c>
      <c r="AB79" s="469">
        <v>0</v>
      </c>
      <c r="AC79" s="469">
        <v>0</v>
      </c>
      <c r="AD79" s="468">
        <v>0</v>
      </c>
      <c r="AE79" s="374"/>
      <c r="AF79" s="144"/>
      <c r="AG79" s="469">
        <v>0</v>
      </c>
      <c r="AH79" s="469">
        <v>0</v>
      </c>
      <c r="AI79" s="469"/>
      <c r="AJ79" s="469">
        <v>0</v>
      </c>
      <c r="AK79" s="469">
        <v>0</v>
      </c>
      <c r="AL79" s="469">
        <v>0</v>
      </c>
      <c r="AM79" s="469">
        <v>0</v>
      </c>
      <c r="AN79" s="374">
        <v>0</v>
      </c>
    </row>
    <row r="80" spans="2:40">
      <c r="B80" t="s">
        <v>433</v>
      </c>
      <c r="C80" t="s">
        <v>74</v>
      </c>
      <c r="D80" t="s">
        <v>96</v>
      </c>
      <c r="E80" s="521"/>
      <c r="F80" s="261">
        <v>0</v>
      </c>
      <c r="G80" s="261"/>
      <c r="H80" s="261"/>
      <c r="I80" s="261">
        <v>3.1594388762239994E-2</v>
      </c>
      <c r="J80" s="261">
        <v>0.97798805483399998</v>
      </c>
      <c r="K80" s="261">
        <v>15.5960504076</v>
      </c>
      <c r="L80" s="522">
        <v>1.0751763300649999</v>
      </c>
      <c r="M80" s="523"/>
      <c r="N80" s="521"/>
      <c r="O80" s="261">
        <v>0</v>
      </c>
      <c r="P80" s="261">
        <v>1.477275067522649E-2</v>
      </c>
      <c r="Q80" s="261"/>
      <c r="R80" s="261">
        <v>0.8000580114304372</v>
      </c>
      <c r="S80" s="261">
        <v>2.0199520243968348E-2</v>
      </c>
      <c r="T80" s="261">
        <v>8.4265278106701175E-2</v>
      </c>
      <c r="U80" s="261">
        <v>0.44177041885157042</v>
      </c>
      <c r="V80" s="523">
        <v>9.4263153338630903E-2</v>
      </c>
      <c r="W80" s="144"/>
      <c r="X80" s="469">
        <v>1402.6863806474894</v>
      </c>
      <c r="Y80" s="469"/>
      <c r="Z80" s="469"/>
      <c r="AA80" s="469">
        <v>9.9348800000000001E-2</v>
      </c>
      <c r="AB80" s="469">
        <v>0.1285116</v>
      </c>
      <c r="AC80" s="469">
        <v>0.12665119999999999</v>
      </c>
      <c r="AD80" s="468">
        <v>1.28837E-2</v>
      </c>
      <c r="AE80" s="374"/>
      <c r="AF80" s="144"/>
      <c r="AG80" s="469">
        <v>249.31796157594198</v>
      </c>
      <c r="AH80" s="469">
        <v>0.20121577663913523</v>
      </c>
      <c r="AI80" s="469"/>
      <c r="AJ80" s="469">
        <v>0.57467536055628887</v>
      </c>
      <c r="AK80" s="469">
        <v>2.0983729752732584E-2</v>
      </c>
      <c r="AL80" s="469">
        <v>1.2872639747338892E-2</v>
      </c>
      <c r="AM80" s="469">
        <v>0.29833881338668666</v>
      </c>
      <c r="AN80" s="374">
        <v>0.14840176381550163</v>
      </c>
    </row>
    <row r="81" spans="2:40">
      <c r="B81" t="s">
        <v>433</v>
      </c>
      <c r="C81" t="s">
        <v>74</v>
      </c>
      <c r="D81" t="s">
        <v>50</v>
      </c>
      <c r="E81" s="521"/>
      <c r="F81" s="261">
        <v>0</v>
      </c>
      <c r="G81" s="261"/>
      <c r="H81" s="261"/>
      <c r="I81" s="261">
        <v>1.2250001931576497</v>
      </c>
      <c r="J81" s="261">
        <v>0.28139989055100001</v>
      </c>
      <c r="K81" s="261">
        <v>4.597000293750801</v>
      </c>
      <c r="L81" s="522">
        <v>60.711487181265007</v>
      </c>
      <c r="M81" s="523"/>
      <c r="N81" s="521"/>
      <c r="O81" s="261">
        <v>0</v>
      </c>
      <c r="P81" s="261">
        <v>4.9279639870020023E-3</v>
      </c>
      <c r="Q81" s="261"/>
      <c r="R81" s="261">
        <v>0.14843038613657072</v>
      </c>
      <c r="S81" s="261">
        <v>4.1880332460021563</v>
      </c>
      <c r="T81" s="261">
        <v>7.5922361481753304</v>
      </c>
      <c r="U81" s="261">
        <v>0.59973833472992455</v>
      </c>
      <c r="V81" s="523">
        <v>0.13199733394184479</v>
      </c>
      <c r="W81" s="144"/>
      <c r="X81" s="469">
        <v>1784.3597695015153</v>
      </c>
      <c r="Y81" s="469"/>
      <c r="Z81" s="469"/>
      <c r="AA81" s="469">
        <v>2.759341</v>
      </c>
      <c r="AB81" s="469">
        <v>1.238267</v>
      </c>
      <c r="AC81" s="469">
        <v>0.95091490000000001</v>
      </c>
      <c r="AD81" s="468">
        <v>20.712610000000002</v>
      </c>
      <c r="AE81" s="374"/>
      <c r="AF81" s="144"/>
      <c r="AG81" s="469">
        <v>88.430457327125453</v>
      </c>
      <c r="AH81" s="469">
        <v>4.9905774001760175E-2</v>
      </c>
      <c r="AI81" s="469"/>
      <c r="AJ81" s="469">
        <v>0.27680774261592495</v>
      </c>
      <c r="AK81" s="469">
        <v>3.2347026128833525</v>
      </c>
      <c r="AL81" s="469">
        <v>0.80522195951598141</v>
      </c>
      <c r="AM81" s="469">
        <v>0.13636984145999509</v>
      </c>
      <c r="AN81" s="374">
        <v>0.14600853431683011</v>
      </c>
    </row>
    <row r="82" spans="2:40">
      <c r="B82" s="218" t="s">
        <v>433</v>
      </c>
      <c r="C82" s="218" t="s">
        <v>74</v>
      </c>
      <c r="D82" s="218" t="s">
        <v>434</v>
      </c>
      <c r="E82" s="524"/>
      <c r="F82" s="264">
        <v>0</v>
      </c>
      <c r="G82" s="264"/>
      <c r="H82" s="264"/>
      <c r="I82" s="264">
        <v>1.0846932056704572</v>
      </c>
      <c r="J82" s="264">
        <v>5.3945065128938638E-2</v>
      </c>
      <c r="K82" s="264">
        <v>0.95128676246188015</v>
      </c>
      <c r="L82" s="525">
        <v>12.28542183389326</v>
      </c>
      <c r="M82" s="526"/>
      <c r="N82" s="524"/>
      <c r="O82" s="264">
        <v>0</v>
      </c>
      <c r="P82" s="264">
        <v>6.2596188127568455E-4</v>
      </c>
      <c r="Q82" s="264"/>
      <c r="R82" s="264">
        <v>5.6958356358633486E-2</v>
      </c>
      <c r="S82" s="264">
        <v>0.53197409242989979</v>
      </c>
      <c r="T82" s="264">
        <v>0.51187777609370522</v>
      </c>
      <c r="U82" s="264">
        <v>7.6670697753044997E-2</v>
      </c>
      <c r="V82" s="526">
        <v>8.9799854560238656E-3</v>
      </c>
      <c r="W82" s="145"/>
      <c r="X82" s="218">
        <v>1269.512214837059</v>
      </c>
      <c r="Y82" s="218"/>
      <c r="Z82" s="218"/>
      <c r="AA82" s="218">
        <v>1.9221787251664026</v>
      </c>
      <c r="AB82" s="218">
        <v>0.31622811655718819</v>
      </c>
      <c r="AC82" s="218">
        <v>0.26245849085736728</v>
      </c>
      <c r="AD82" s="467">
        <v>5.2731475122314979</v>
      </c>
      <c r="AE82" s="470"/>
      <c r="AF82" s="145"/>
      <c r="AG82" s="218">
        <v>81.802575570518428</v>
      </c>
      <c r="AH82" s="218">
        <v>5.2514775856829177E-2</v>
      </c>
      <c r="AI82" s="218"/>
      <c r="AJ82" s="218">
        <v>0.23447249574006829</v>
      </c>
      <c r="AK82" s="218">
        <v>2.0375483108297883</v>
      </c>
      <c r="AL82" s="218">
        <v>0.50801418422231304</v>
      </c>
      <c r="AM82" s="218">
        <v>0.1171107065349361</v>
      </c>
      <c r="AN82" s="470">
        <v>0.10744314877344761</v>
      </c>
    </row>
    <row r="83" spans="2:40">
      <c r="B83" t="s">
        <v>432</v>
      </c>
      <c r="C83" t="s">
        <v>47</v>
      </c>
      <c r="D83" t="s">
        <v>432</v>
      </c>
      <c r="E83" s="521"/>
      <c r="F83" s="261">
        <v>0</v>
      </c>
      <c r="G83" s="261"/>
      <c r="H83" s="261"/>
      <c r="I83" s="261">
        <v>0</v>
      </c>
      <c r="J83" s="261">
        <v>0</v>
      </c>
      <c r="K83" s="261">
        <v>0</v>
      </c>
      <c r="L83" s="522">
        <v>0</v>
      </c>
      <c r="M83" s="523"/>
      <c r="N83" s="521"/>
      <c r="O83" s="261">
        <v>0</v>
      </c>
      <c r="P83" s="261">
        <v>0</v>
      </c>
      <c r="Q83" s="261"/>
      <c r="R83" s="261">
        <v>0</v>
      </c>
      <c r="S83" s="261">
        <v>0</v>
      </c>
      <c r="T83" s="261">
        <v>0</v>
      </c>
      <c r="U83" s="261">
        <v>0</v>
      </c>
      <c r="V83" s="523">
        <v>0</v>
      </c>
      <c r="W83" s="144"/>
      <c r="X83" s="469">
        <v>0</v>
      </c>
      <c r="Y83" s="469"/>
      <c r="Z83" s="469"/>
      <c r="AA83" s="469">
        <v>0</v>
      </c>
      <c r="AB83" s="469">
        <v>0</v>
      </c>
      <c r="AC83" s="469">
        <v>0</v>
      </c>
      <c r="AD83" s="468">
        <v>0</v>
      </c>
      <c r="AE83" s="374"/>
      <c r="AF83" s="144"/>
      <c r="AG83" s="469">
        <v>0</v>
      </c>
      <c r="AH83" s="469">
        <v>0</v>
      </c>
      <c r="AI83" s="469"/>
      <c r="AJ83" s="469">
        <v>0</v>
      </c>
      <c r="AK83" s="469">
        <v>0</v>
      </c>
      <c r="AL83" s="469">
        <v>0</v>
      </c>
      <c r="AM83" s="469">
        <v>0</v>
      </c>
      <c r="AN83" s="374">
        <v>0</v>
      </c>
    </row>
    <row r="84" spans="2:40">
      <c r="B84" t="s">
        <v>432</v>
      </c>
      <c r="C84" t="s">
        <v>47</v>
      </c>
      <c r="D84" t="s">
        <v>96</v>
      </c>
      <c r="E84" s="521"/>
      <c r="F84" s="261">
        <v>12.278168535602063</v>
      </c>
      <c r="G84" s="261"/>
      <c r="H84" s="261"/>
      <c r="I84" s="261">
        <v>3.0263340930770002</v>
      </c>
      <c r="J84" s="261">
        <v>8.065157023E-4</v>
      </c>
      <c r="K84" s="261">
        <v>1.6383316887599999E-2</v>
      </c>
      <c r="L84" s="522">
        <v>4.0289357763999998E-3</v>
      </c>
      <c r="M84" s="523"/>
      <c r="N84" s="521"/>
      <c r="O84" s="261">
        <v>1.2604195432812773</v>
      </c>
      <c r="P84" s="261">
        <v>3.0678059645554787E-3</v>
      </c>
      <c r="Q84" s="261"/>
      <c r="R84" s="261">
        <v>0.14439316025117205</v>
      </c>
      <c r="S84" s="261">
        <v>4.1947644042706466E-3</v>
      </c>
      <c r="T84" s="261">
        <v>1.1411399486430383E-2</v>
      </c>
      <c r="U84" s="261">
        <v>0.35317304709653113</v>
      </c>
      <c r="V84" s="523">
        <v>1.273070901526464E-2</v>
      </c>
      <c r="W84" s="144"/>
      <c r="X84" s="469">
        <v>2455.6337071204125</v>
      </c>
      <c r="Y84" s="469"/>
      <c r="Z84" s="469"/>
      <c r="AA84" s="469">
        <v>3.9913219999999998</v>
      </c>
      <c r="AB84" s="469">
        <v>9.5371999999999992E-3</v>
      </c>
      <c r="AC84" s="469">
        <v>9.5371999999999992E-3</v>
      </c>
      <c r="AD84" s="468">
        <v>5.6198000000000003E-3</v>
      </c>
      <c r="AE84" s="374"/>
      <c r="AF84" s="144"/>
      <c r="AG84" s="469">
        <v>252.08390865625552</v>
      </c>
      <c r="AH84" s="469">
        <v>0.20344807545302759</v>
      </c>
      <c r="AI84" s="469"/>
      <c r="AJ84" s="469">
        <v>0.58105084038779176</v>
      </c>
      <c r="AK84" s="469">
        <v>2.1216524396475013E-2</v>
      </c>
      <c r="AL84" s="469">
        <v>1.301544951563645E-2</v>
      </c>
      <c r="AM84" s="469">
        <v>0.30164860047388675</v>
      </c>
      <c r="AN84" s="374">
        <v>0.15004814108709599</v>
      </c>
    </row>
    <row r="85" spans="2:40">
      <c r="B85" t="s">
        <v>432</v>
      </c>
      <c r="C85" t="s">
        <v>47</v>
      </c>
      <c r="D85" t="s">
        <v>50</v>
      </c>
      <c r="E85" s="521"/>
      <c r="F85" s="261">
        <v>9.9337038561182478</v>
      </c>
      <c r="G85" s="261"/>
      <c r="H85" s="261"/>
      <c r="I85" s="261">
        <v>2.5652004995000004</v>
      </c>
      <c r="J85" s="261">
        <v>0.122299989436625</v>
      </c>
      <c r="K85" s="261">
        <v>2.3119996211130003</v>
      </c>
      <c r="L85" s="522">
        <v>60.00969704508001</v>
      </c>
      <c r="M85" s="523"/>
      <c r="N85" s="521"/>
      <c r="O85" s="261">
        <v>0.49321751222431942</v>
      </c>
      <c r="P85" s="261">
        <v>9.041543051112221E-4</v>
      </c>
      <c r="Q85" s="261"/>
      <c r="R85" s="261">
        <v>8.2272011530102288E-2</v>
      </c>
      <c r="S85" s="261">
        <v>0.76839609609757442</v>
      </c>
      <c r="T85" s="261">
        <v>0.73936849637342283</v>
      </c>
      <c r="U85" s="261">
        <v>0.11074498866931197</v>
      </c>
      <c r="V85" s="523">
        <v>1.2970905661784639E-2</v>
      </c>
      <c r="W85" s="144"/>
      <c r="X85" s="469">
        <v>1986.7407712236493</v>
      </c>
      <c r="Y85" s="469"/>
      <c r="Z85" s="469"/>
      <c r="AA85" s="469">
        <v>3.5403440000000002</v>
      </c>
      <c r="AB85" s="469">
        <v>0.84134050000000005</v>
      </c>
      <c r="AC85" s="469">
        <v>0.77803060000000002</v>
      </c>
      <c r="AD85" s="468">
        <v>23.807590000000001</v>
      </c>
      <c r="AE85" s="374"/>
      <c r="AF85" s="144"/>
      <c r="AG85" s="469">
        <v>98.643502444863884</v>
      </c>
      <c r="AH85" s="469">
        <v>5.5669511258372675E-2</v>
      </c>
      <c r="AI85" s="469"/>
      <c r="AJ85" s="469">
        <v>0.30877693117069893</v>
      </c>
      <c r="AK85" s="469">
        <v>3.6082861578110395</v>
      </c>
      <c r="AL85" s="469">
        <v>0.89821897039775012</v>
      </c>
      <c r="AM85" s="469">
        <v>0.1521195207631072</v>
      </c>
      <c r="AN85" s="374">
        <v>0.16287140932194707</v>
      </c>
    </row>
    <row r="86" spans="2:40">
      <c r="B86" t="s">
        <v>432</v>
      </c>
      <c r="C86" t="s">
        <v>47</v>
      </c>
      <c r="D86" t="s">
        <v>434</v>
      </c>
      <c r="E86" s="521"/>
      <c r="F86" s="261">
        <v>6.3475610741852933</v>
      </c>
      <c r="G86" s="261"/>
      <c r="H86" s="261"/>
      <c r="I86" s="261">
        <v>1.0846932056704575</v>
      </c>
      <c r="J86" s="261">
        <v>5.3945065128938659E-2</v>
      </c>
      <c r="K86" s="261">
        <v>0.95128676246188049</v>
      </c>
      <c r="L86" s="522">
        <v>12.285421833893263</v>
      </c>
      <c r="M86" s="523"/>
      <c r="N86" s="521"/>
      <c r="O86" s="261">
        <v>0.40901287785259288</v>
      </c>
      <c r="P86" s="261">
        <v>8.2837504671104335E-4</v>
      </c>
      <c r="Q86" s="261"/>
      <c r="R86" s="261">
        <v>6.139213744329438E-2</v>
      </c>
      <c r="S86" s="261">
        <v>0.43386888273003732</v>
      </c>
      <c r="T86" s="261">
        <v>0.41824403002824539</v>
      </c>
      <c r="U86" s="261">
        <v>9.9119321405616065E-2</v>
      </c>
      <c r="V86" s="523">
        <v>8.6377103909488738E-3</v>
      </c>
      <c r="W86" s="144"/>
      <c r="X86" s="469">
        <v>1269.5122148370588</v>
      </c>
      <c r="Y86" s="469"/>
      <c r="Z86" s="469"/>
      <c r="AA86" s="469">
        <v>1.9221787251664029</v>
      </c>
      <c r="AB86" s="469">
        <v>0.31622811655718824</v>
      </c>
      <c r="AC86" s="469">
        <v>0.26245849085736744</v>
      </c>
      <c r="AD86" s="468">
        <v>5.2731475122314997</v>
      </c>
      <c r="AE86" s="374"/>
      <c r="AF86" s="144"/>
      <c r="AG86" s="469">
        <v>81.802575570518457</v>
      </c>
      <c r="AH86" s="469">
        <v>5.2514775856829198E-2</v>
      </c>
      <c r="AI86" s="469"/>
      <c r="AJ86" s="469">
        <v>0.23447249574006843</v>
      </c>
      <c r="AK86" s="469">
        <v>2.0375483108297883</v>
      </c>
      <c r="AL86" s="469">
        <v>0.50801418422231315</v>
      </c>
      <c r="AM86" s="469">
        <v>0.11711070653493612</v>
      </c>
      <c r="AN86" s="374">
        <v>0.10744314877344766</v>
      </c>
    </row>
    <row r="87" spans="2:40">
      <c r="B87" t="s">
        <v>433</v>
      </c>
      <c r="C87" t="s">
        <v>47</v>
      </c>
      <c r="D87" t="s">
        <v>432</v>
      </c>
      <c r="E87" s="521"/>
      <c r="F87" s="261">
        <v>0</v>
      </c>
      <c r="G87" s="261"/>
      <c r="H87" s="261"/>
      <c r="I87" s="261">
        <v>0</v>
      </c>
      <c r="J87" s="261">
        <v>0</v>
      </c>
      <c r="K87" s="261">
        <v>0</v>
      </c>
      <c r="L87" s="522">
        <v>0</v>
      </c>
      <c r="M87" s="523"/>
      <c r="N87" s="521"/>
      <c r="O87" s="261">
        <v>0</v>
      </c>
      <c r="P87" s="261">
        <v>0</v>
      </c>
      <c r="Q87" s="261"/>
      <c r="R87" s="261">
        <v>0</v>
      </c>
      <c r="S87" s="261">
        <v>0</v>
      </c>
      <c r="T87" s="261">
        <v>0</v>
      </c>
      <c r="U87" s="261">
        <v>0</v>
      </c>
      <c r="V87" s="523">
        <v>0</v>
      </c>
      <c r="W87" s="144"/>
      <c r="X87" s="469">
        <v>0</v>
      </c>
      <c r="Y87" s="469"/>
      <c r="Z87" s="469"/>
      <c r="AA87" s="469">
        <v>0</v>
      </c>
      <c r="AB87" s="469">
        <v>0</v>
      </c>
      <c r="AC87" s="469">
        <v>0</v>
      </c>
      <c r="AD87" s="468">
        <v>0</v>
      </c>
      <c r="AE87" s="374"/>
      <c r="AF87" s="144"/>
      <c r="AG87" s="469">
        <v>0</v>
      </c>
      <c r="AH87" s="469">
        <v>0</v>
      </c>
      <c r="AI87" s="469"/>
      <c r="AJ87" s="469">
        <v>0</v>
      </c>
      <c r="AK87" s="469">
        <v>0</v>
      </c>
      <c r="AL87" s="469">
        <v>0</v>
      </c>
      <c r="AM87" s="469">
        <v>0</v>
      </c>
      <c r="AN87" s="374">
        <v>0</v>
      </c>
    </row>
    <row r="88" spans="2:40">
      <c r="B88" t="s">
        <v>433</v>
      </c>
      <c r="C88" t="s">
        <v>47</v>
      </c>
      <c r="D88" t="s">
        <v>96</v>
      </c>
      <c r="E88" s="521"/>
      <c r="F88" s="261">
        <v>10.040398330454362</v>
      </c>
      <c r="G88" s="261"/>
      <c r="H88" s="261"/>
      <c r="I88" s="261">
        <v>0.86789997948620001</v>
      </c>
      <c r="J88" s="261">
        <v>2.6800004632940001E-2</v>
      </c>
      <c r="K88" s="261">
        <v>0.24399993940799999</v>
      </c>
      <c r="L88" s="522">
        <v>4.0569992128059997</v>
      </c>
      <c r="M88" s="523"/>
      <c r="N88" s="521"/>
      <c r="O88" s="261">
        <v>0.49757115451827583</v>
      </c>
      <c r="P88" s="261">
        <v>5.5456294235061779E-3</v>
      </c>
      <c r="Q88" s="261"/>
      <c r="R88" s="261">
        <v>0.16703448297764834</v>
      </c>
      <c r="S88" s="261">
        <v>4.7129565997054055</v>
      </c>
      <c r="T88" s="261">
        <v>8.5438384461779986</v>
      </c>
      <c r="U88" s="261">
        <v>0.67490885977562554</v>
      </c>
      <c r="V88" s="523">
        <v>0.14854173059361034</v>
      </c>
      <c r="W88" s="144"/>
      <c r="X88" s="469">
        <v>2008.0796660908725</v>
      </c>
      <c r="Y88" s="469"/>
      <c r="Z88" s="469"/>
      <c r="AA88" s="469">
        <v>3.1922570000000001</v>
      </c>
      <c r="AB88" s="469">
        <v>0.51981160000000004</v>
      </c>
      <c r="AC88" s="469">
        <v>0.34194350000000001</v>
      </c>
      <c r="AD88" s="468">
        <v>5.4513220000000002</v>
      </c>
      <c r="AE88" s="374"/>
      <c r="AF88" s="144"/>
      <c r="AG88" s="469">
        <v>99.514230903655161</v>
      </c>
      <c r="AH88" s="469">
        <v>5.6160907311212142E-2</v>
      </c>
      <c r="AI88" s="469"/>
      <c r="AJ88" s="469">
        <v>0.16430907898801891</v>
      </c>
      <c r="AK88" s="469">
        <v>3.6401365824938496</v>
      </c>
      <c r="AL88" s="469">
        <v>0.90614756985303291</v>
      </c>
      <c r="AM88" s="469">
        <v>0.15346228326224054</v>
      </c>
      <c r="AN88" s="374">
        <v>0.16430907898801891</v>
      </c>
    </row>
    <row r="89" spans="2:40">
      <c r="B89" t="s">
        <v>433</v>
      </c>
      <c r="C89" t="s">
        <v>47</v>
      </c>
      <c r="D89" t="s">
        <v>50</v>
      </c>
      <c r="E89" s="521"/>
      <c r="F89" s="261">
        <v>15.307421114176282</v>
      </c>
      <c r="G89" s="261"/>
      <c r="H89" s="261"/>
      <c r="I89" s="261">
        <v>2.1509998059989996</v>
      </c>
      <c r="J89" s="261">
        <v>0.26590006476110001</v>
      </c>
      <c r="K89" s="261">
        <v>5.6064004390799989</v>
      </c>
      <c r="L89" s="522">
        <v>43.080698276172498</v>
      </c>
      <c r="M89" s="523"/>
      <c r="N89" s="521"/>
      <c r="O89" s="261">
        <v>0.75466931918287805</v>
      </c>
      <c r="P89" s="261">
        <v>8.4110912448889241E-3</v>
      </c>
      <c r="Q89" s="261"/>
      <c r="R89" s="261">
        <v>0.25334225749249273</v>
      </c>
      <c r="S89" s="261">
        <v>7.1481711030487229</v>
      </c>
      <c r="T89" s="261">
        <v>12.958493845223142</v>
      </c>
      <c r="U89" s="261">
        <v>1.0236385391160292</v>
      </c>
      <c r="V89" s="523">
        <v>0.22529418291109754</v>
      </c>
      <c r="W89" s="144"/>
      <c r="X89" s="469">
        <v>3061.4842228352563</v>
      </c>
      <c r="Y89" s="469"/>
      <c r="Z89" s="469"/>
      <c r="AA89" s="469">
        <v>2.153098</v>
      </c>
      <c r="AB89" s="469">
        <v>0.51385179999999997</v>
      </c>
      <c r="AC89" s="469">
        <v>0.46814099999999997</v>
      </c>
      <c r="AD89" s="468">
        <v>8.8572290000000002</v>
      </c>
      <c r="AE89" s="374"/>
      <c r="AF89" s="144"/>
      <c r="AG89" s="469">
        <v>150.93386383657563</v>
      </c>
      <c r="AH89" s="469">
        <v>8.5179603560978659E-2</v>
      </c>
      <c r="AI89" s="469"/>
      <c r="AJ89" s="469">
        <v>0.24920862001235541</v>
      </c>
      <c r="AK89" s="469">
        <v>5.5210181930721651</v>
      </c>
      <c r="AL89" s="469">
        <v>1.3743597541989148</v>
      </c>
      <c r="AM89" s="469">
        <v>0.23275721628575882</v>
      </c>
      <c r="AN89" s="374">
        <v>0.24920862001235541</v>
      </c>
    </row>
    <row r="90" spans="2:40">
      <c r="B90" s="218" t="s">
        <v>433</v>
      </c>
      <c r="C90" s="218" t="s">
        <v>47</v>
      </c>
      <c r="D90" s="218" t="s">
        <v>434</v>
      </c>
      <c r="E90" s="524"/>
      <c r="F90" s="264">
        <v>6.3475610741852879</v>
      </c>
      <c r="G90" s="264"/>
      <c r="H90" s="264"/>
      <c r="I90" s="264">
        <v>1.0846932056704572</v>
      </c>
      <c r="J90" s="264">
        <v>5.3945065128938645E-2</v>
      </c>
      <c r="K90" s="264">
        <v>0.95128676246188015</v>
      </c>
      <c r="L90" s="525">
        <v>12.285421833893254</v>
      </c>
      <c r="M90" s="526"/>
      <c r="N90" s="524"/>
      <c r="O90" s="264">
        <v>0.34146313310101395</v>
      </c>
      <c r="P90" s="264">
        <v>6.2596188127568455E-4</v>
      </c>
      <c r="Q90" s="264"/>
      <c r="R90" s="264">
        <v>5.6958356358633493E-2</v>
      </c>
      <c r="S90" s="264">
        <v>0.53197409242989968</v>
      </c>
      <c r="T90" s="264">
        <v>0.51187777609370522</v>
      </c>
      <c r="U90" s="264">
        <v>7.6670697753044983E-2</v>
      </c>
      <c r="V90" s="526">
        <v>8.9799854560238639E-3</v>
      </c>
      <c r="W90" s="145"/>
      <c r="X90" s="218">
        <v>1269.512214837059</v>
      </c>
      <c r="Y90" s="218"/>
      <c r="Z90" s="218"/>
      <c r="AA90" s="218">
        <v>1.9221787251664018</v>
      </c>
      <c r="AB90" s="218">
        <v>0.31622811655718813</v>
      </c>
      <c r="AC90" s="218">
        <v>0.26245849085736733</v>
      </c>
      <c r="AD90" s="467">
        <v>5.2731475122314979</v>
      </c>
      <c r="AE90" s="470"/>
      <c r="AF90" s="145"/>
      <c r="AG90" s="218">
        <v>81.802575570518385</v>
      </c>
      <c r="AH90" s="218">
        <v>5.2514775856829177E-2</v>
      </c>
      <c r="AI90" s="218"/>
      <c r="AJ90" s="218">
        <v>0.10744314877344756</v>
      </c>
      <c r="AK90" s="218">
        <v>2.0375483108297878</v>
      </c>
      <c r="AL90" s="218">
        <v>0.50801418422231304</v>
      </c>
      <c r="AM90" s="218">
        <v>0.1171107065349361</v>
      </c>
      <c r="AN90" s="470">
        <v>0.10744314877344756</v>
      </c>
    </row>
    <row r="91" spans="2:40">
      <c r="B91" t="s">
        <v>432</v>
      </c>
      <c r="C91" t="s">
        <v>17</v>
      </c>
      <c r="D91" t="s">
        <v>432</v>
      </c>
      <c r="E91" s="521"/>
      <c r="F91" s="261">
        <v>0</v>
      </c>
      <c r="G91" s="261"/>
      <c r="H91" s="261"/>
      <c r="I91" s="261">
        <v>0</v>
      </c>
      <c r="J91" s="261">
        <v>0</v>
      </c>
      <c r="K91" s="261">
        <v>0</v>
      </c>
      <c r="L91" s="522">
        <v>0</v>
      </c>
      <c r="M91" s="523"/>
      <c r="N91" s="521"/>
      <c r="O91" s="261">
        <v>0</v>
      </c>
      <c r="P91" s="261">
        <v>0</v>
      </c>
      <c r="Q91" s="261"/>
      <c r="R91" s="261">
        <v>0</v>
      </c>
      <c r="S91" s="261">
        <v>0</v>
      </c>
      <c r="T91" s="261">
        <v>0</v>
      </c>
      <c r="U91" s="261">
        <v>0</v>
      </c>
      <c r="V91" s="523">
        <v>0</v>
      </c>
      <c r="W91" s="144"/>
      <c r="X91" s="469">
        <v>0</v>
      </c>
      <c r="Y91" s="469"/>
      <c r="Z91" s="469"/>
      <c r="AA91" s="469">
        <v>0</v>
      </c>
      <c r="AB91" s="469">
        <v>0</v>
      </c>
      <c r="AC91" s="469">
        <v>0</v>
      </c>
      <c r="AD91" s="468">
        <v>0</v>
      </c>
      <c r="AE91" s="374"/>
      <c r="AF91" s="144"/>
      <c r="AG91" s="469">
        <v>0</v>
      </c>
      <c r="AH91" s="469">
        <v>0</v>
      </c>
      <c r="AI91" s="469"/>
      <c r="AJ91" s="469">
        <v>0</v>
      </c>
      <c r="AK91" s="469">
        <v>0</v>
      </c>
      <c r="AL91" s="469">
        <v>0</v>
      </c>
      <c r="AM91" s="469">
        <v>0</v>
      </c>
      <c r="AN91" s="374">
        <v>0</v>
      </c>
    </row>
    <row r="92" spans="2:40">
      <c r="B92" t="s">
        <v>432</v>
      </c>
      <c r="C92" t="s">
        <v>17</v>
      </c>
      <c r="D92" t="s">
        <v>96</v>
      </c>
      <c r="E92" s="521"/>
      <c r="F92" s="261">
        <v>30.938369809570805</v>
      </c>
      <c r="G92" s="261"/>
      <c r="H92" s="261"/>
      <c r="I92" s="261">
        <v>2.5177999115554499</v>
      </c>
      <c r="J92" s="261">
        <v>5.4000011988989995E-2</v>
      </c>
      <c r="K92" s="261">
        <v>0.53590002198459985</v>
      </c>
      <c r="L92" s="522">
        <v>1.8253998400300002</v>
      </c>
      <c r="M92" s="523"/>
      <c r="N92" s="521"/>
      <c r="O92" s="261">
        <v>1.5354578925547291</v>
      </c>
      <c r="P92" s="261">
        <v>9.3825464388549973E-4</v>
      </c>
      <c r="Q92" s="261"/>
      <c r="R92" s="261">
        <v>8.5374914927186324E-2</v>
      </c>
      <c r="S92" s="261">
        <v>0.79737629012157607</v>
      </c>
      <c r="T92" s="261">
        <v>0.76725390936414073</v>
      </c>
      <c r="U92" s="261">
        <v>0.11492175541125933</v>
      </c>
      <c r="V92" s="523">
        <v>1.346010565206909E-2</v>
      </c>
      <c r="W92" s="144"/>
      <c r="X92" s="469">
        <v>2062.5579873047204</v>
      </c>
      <c r="Y92" s="469"/>
      <c r="Z92" s="469"/>
      <c r="AA92" s="469">
        <v>5.3516370000000002</v>
      </c>
      <c r="AB92" s="469">
        <v>0.77450129999999995</v>
      </c>
      <c r="AC92" s="469">
        <v>0.47174359999999999</v>
      </c>
      <c r="AD92" s="468">
        <v>1.6095950000000001</v>
      </c>
      <c r="AE92" s="374"/>
      <c r="AF92" s="144"/>
      <c r="AG92" s="469">
        <v>102.36385950364863</v>
      </c>
      <c r="AH92" s="469">
        <v>5.7769096674907802E-2</v>
      </c>
      <c r="AI92" s="469"/>
      <c r="AJ92" s="469">
        <v>0.32042250748336981</v>
      </c>
      <c r="AK92" s="469">
        <v>3.7443733054144097</v>
      </c>
      <c r="AL92" s="469">
        <v>0.93209545697852059</v>
      </c>
      <c r="AM92" s="469">
        <v>0.15785673526607261</v>
      </c>
      <c r="AN92" s="374">
        <v>0.16901413319454894</v>
      </c>
    </row>
    <row r="93" spans="2:40">
      <c r="B93" t="s">
        <v>432</v>
      </c>
      <c r="C93" t="s">
        <v>17</v>
      </c>
      <c r="D93" t="s">
        <v>50</v>
      </c>
      <c r="E93" s="521"/>
      <c r="F93" s="261">
        <v>30.340528453146746</v>
      </c>
      <c r="G93" s="261"/>
      <c r="H93" s="261"/>
      <c r="I93" s="261">
        <v>2.528799328736</v>
      </c>
      <c r="J93" s="261">
        <v>0.22999997141435002</v>
      </c>
      <c r="K93" s="261">
        <v>3.9881008877220001</v>
      </c>
      <c r="L93" s="522">
        <v>57.031084553759996</v>
      </c>
      <c r="M93" s="523"/>
      <c r="N93" s="521"/>
      <c r="O93" s="261">
        <v>1.5036559199348303</v>
      </c>
      <c r="P93" s="261">
        <v>9.1882177722075922E-4</v>
      </c>
      <c r="Q93" s="261"/>
      <c r="R93" s="261">
        <v>8.3606653667723754E-2</v>
      </c>
      <c r="S93" s="261">
        <v>0.78086125635271675</v>
      </c>
      <c r="T93" s="261">
        <v>0.75136276188531859</v>
      </c>
      <c r="U93" s="261">
        <v>0.11254152829025456</v>
      </c>
      <c r="V93" s="523">
        <v>1.318132372422616E-2</v>
      </c>
      <c r="W93" s="144"/>
      <c r="X93" s="469">
        <v>2022.7018968764496</v>
      </c>
      <c r="Y93" s="469"/>
      <c r="Z93" s="469"/>
      <c r="AA93" s="469">
        <v>4.0490719999999998</v>
      </c>
      <c r="AB93" s="469">
        <v>1.441411</v>
      </c>
      <c r="AC93" s="469">
        <v>1.215284</v>
      </c>
      <c r="AD93" s="468">
        <v>20.579039999999999</v>
      </c>
      <c r="AE93" s="374"/>
      <c r="AF93" s="144"/>
      <c r="AG93" s="469">
        <v>100.24372799565535</v>
      </c>
      <c r="AH93" s="469">
        <v>5.6572599369680503E-2</v>
      </c>
      <c r="AI93" s="469"/>
      <c r="AJ93" s="469">
        <v>0.3137860065026552</v>
      </c>
      <c r="AK93" s="469">
        <v>3.666820897162208</v>
      </c>
      <c r="AL93" s="469">
        <v>0.91279015766312011</v>
      </c>
      <c r="AM93" s="469">
        <v>0.15458725090108907</v>
      </c>
      <c r="AN93" s="374">
        <v>0.16551355993735203</v>
      </c>
    </row>
    <row r="94" spans="2:40">
      <c r="B94" t="s">
        <v>432</v>
      </c>
      <c r="C94" t="s">
        <v>17</v>
      </c>
      <c r="D94" t="s">
        <v>434</v>
      </c>
      <c r="E94" s="521"/>
      <c r="F94" s="261">
        <v>19.042683222555898</v>
      </c>
      <c r="G94" s="261"/>
      <c r="H94" s="261"/>
      <c r="I94" s="261">
        <v>1.0846932056704575</v>
      </c>
      <c r="J94" s="261">
        <v>5.3945065128938659E-2</v>
      </c>
      <c r="K94" s="261">
        <v>0.9512867624618806</v>
      </c>
      <c r="L94" s="522">
        <v>12.285421833893265</v>
      </c>
      <c r="M94" s="523"/>
      <c r="N94" s="521"/>
      <c r="O94" s="261">
        <v>1.2270386335577785</v>
      </c>
      <c r="P94" s="261">
        <v>8.2837504671104379E-4</v>
      </c>
      <c r="Q94" s="261"/>
      <c r="R94" s="261">
        <v>6.1392137443294421E-2</v>
      </c>
      <c r="S94" s="261">
        <v>0.43386888273003738</v>
      </c>
      <c r="T94" s="261">
        <v>0.41824403002824545</v>
      </c>
      <c r="U94" s="261">
        <v>9.9119321405616065E-2</v>
      </c>
      <c r="V94" s="523">
        <v>8.6377103909488755E-3</v>
      </c>
      <c r="W94" s="144"/>
      <c r="X94" s="469">
        <v>1269.512214837059</v>
      </c>
      <c r="Y94" s="469"/>
      <c r="Z94" s="469"/>
      <c r="AA94" s="469">
        <v>1.9221787251664024</v>
      </c>
      <c r="AB94" s="469">
        <v>0.3162281165571883</v>
      </c>
      <c r="AC94" s="469">
        <v>0.26245849085736755</v>
      </c>
      <c r="AD94" s="468">
        <v>5.2731475122315015</v>
      </c>
      <c r="AE94" s="374"/>
      <c r="AF94" s="144"/>
      <c r="AG94" s="469">
        <v>81.802575570518457</v>
      </c>
      <c r="AH94" s="469">
        <v>5.2514775856829218E-2</v>
      </c>
      <c r="AI94" s="469"/>
      <c r="AJ94" s="469">
        <v>0.23447249574006845</v>
      </c>
      <c r="AK94" s="469">
        <v>2.0375483108297896</v>
      </c>
      <c r="AL94" s="469">
        <v>0.50801418422231326</v>
      </c>
      <c r="AM94" s="469">
        <v>0.11711070653493616</v>
      </c>
      <c r="AN94" s="374">
        <v>0.10744314877344767</v>
      </c>
    </row>
    <row r="95" spans="2:40">
      <c r="B95" t="s">
        <v>433</v>
      </c>
      <c r="C95" t="s">
        <v>17</v>
      </c>
      <c r="D95" t="s">
        <v>432</v>
      </c>
      <c r="E95" s="521"/>
      <c r="F95" s="261">
        <v>0</v>
      </c>
      <c r="G95" s="261"/>
      <c r="H95" s="261"/>
      <c r="I95" s="261">
        <v>0</v>
      </c>
      <c r="J95" s="261">
        <v>0</v>
      </c>
      <c r="K95" s="261">
        <v>0</v>
      </c>
      <c r="L95" s="522">
        <v>0</v>
      </c>
      <c r="M95" s="523"/>
      <c r="N95" s="521"/>
      <c r="O95" s="261">
        <v>0</v>
      </c>
      <c r="P95" s="261">
        <v>0</v>
      </c>
      <c r="Q95" s="261"/>
      <c r="R95" s="261">
        <v>0</v>
      </c>
      <c r="S95" s="261">
        <v>0</v>
      </c>
      <c r="T95" s="261">
        <v>0</v>
      </c>
      <c r="U95" s="261">
        <v>0</v>
      </c>
      <c r="V95" s="523">
        <v>0</v>
      </c>
      <c r="W95" s="144"/>
      <c r="X95" s="469">
        <v>0</v>
      </c>
      <c r="Y95" s="469"/>
      <c r="Z95" s="469"/>
      <c r="AA95" s="469">
        <v>0</v>
      </c>
      <c r="AB95" s="469">
        <v>0</v>
      </c>
      <c r="AC95" s="469">
        <v>0</v>
      </c>
      <c r="AD95" s="468">
        <v>0</v>
      </c>
      <c r="AE95" s="374"/>
      <c r="AF95" s="144"/>
      <c r="AG95" s="469">
        <v>0</v>
      </c>
      <c r="AH95" s="469">
        <v>0</v>
      </c>
      <c r="AI95" s="469"/>
      <c r="AJ95" s="469">
        <v>0</v>
      </c>
      <c r="AK95" s="469">
        <v>0</v>
      </c>
      <c r="AL95" s="469">
        <v>0</v>
      </c>
      <c r="AM95" s="469">
        <v>0</v>
      </c>
      <c r="AN95" s="374">
        <v>0</v>
      </c>
    </row>
    <row r="96" spans="2:40">
      <c r="B96" t="s">
        <v>433</v>
      </c>
      <c r="C96" t="s">
        <v>17</v>
      </c>
      <c r="D96" t="s">
        <v>96</v>
      </c>
      <c r="E96" s="521"/>
      <c r="F96" s="261">
        <v>31.481003028225196</v>
      </c>
      <c r="G96" s="261"/>
      <c r="H96" s="261"/>
      <c r="I96" s="261">
        <v>1.6239998882822</v>
      </c>
      <c r="J96" s="261">
        <v>1.6399997894584999E-2</v>
      </c>
      <c r="K96" s="261">
        <v>0.24110001308700002</v>
      </c>
      <c r="L96" s="522">
        <v>2.0202004807999998</v>
      </c>
      <c r="M96" s="523"/>
      <c r="N96" s="521"/>
      <c r="O96" s="261">
        <v>1.5614477414071328</v>
      </c>
      <c r="P96" s="261">
        <v>5.800986424677349E-3</v>
      </c>
      <c r="Q96" s="261"/>
      <c r="R96" s="261">
        <v>0.17472584159684401</v>
      </c>
      <c r="S96" s="261">
        <v>4.9299719052809001</v>
      </c>
      <c r="T96" s="261">
        <v>8.9372525742225655</v>
      </c>
      <c r="U96" s="261">
        <v>0.7059860719971367</v>
      </c>
      <c r="V96" s="523">
        <v>0.15538156210351653</v>
      </c>
      <c r="W96" s="144"/>
      <c r="X96" s="469">
        <v>2098.733535215013</v>
      </c>
      <c r="Y96" s="469"/>
      <c r="Z96" s="469"/>
      <c r="AA96" s="469">
        <v>3.3825219999999998</v>
      </c>
      <c r="AB96" s="469">
        <v>0.26797009999999999</v>
      </c>
      <c r="AC96" s="469">
        <v>0.2412164</v>
      </c>
      <c r="AD96" s="468">
        <v>1.32256</v>
      </c>
      <c r="AE96" s="374"/>
      <c r="AF96" s="144"/>
      <c r="AG96" s="469">
        <v>104.09651609380886</v>
      </c>
      <c r="AH96" s="469">
        <v>5.8746922311286968E-2</v>
      </c>
      <c r="AI96" s="469"/>
      <c r="AJ96" s="469">
        <v>0.32584612253577938</v>
      </c>
      <c r="AK96" s="469">
        <v>3.8077522471141911</v>
      </c>
      <c r="AL96" s="469">
        <v>0.94787252267361277</v>
      </c>
      <c r="AM96" s="469">
        <v>0.16052868915669544</v>
      </c>
      <c r="AN96" s="374">
        <v>0.17187494220594929</v>
      </c>
    </row>
    <row r="97" spans="2:40">
      <c r="B97" t="s">
        <v>433</v>
      </c>
      <c r="C97" t="s">
        <v>17</v>
      </c>
      <c r="D97" t="s">
        <v>50</v>
      </c>
      <c r="E97" s="521"/>
      <c r="F97" s="261">
        <v>33.650937023629886</v>
      </c>
      <c r="G97" s="261"/>
      <c r="H97" s="261"/>
      <c r="I97" s="261">
        <v>1.75899978689255</v>
      </c>
      <c r="J97" s="261">
        <v>0.23690002122239998</v>
      </c>
      <c r="K97" s="261">
        <v>4.5160994207999998</v>
      </c>
      <c r="L97" s="522">
        <v>52.402796437110005</v>
      </c>
      <c r="M97" s="523"/>
      <c r="N97" s="521"/>
      <c r="O97" s="261">
        <v>1.6686562980560076</v>
      </c>
      <c r="P97" s="261">
        <v>6.1992804983355063E-3</v>
      </c>
      <c r="Q97" s="261"/>
      <c r="R97" s="261">
        <v>0.18672246805452919</v>
      </c>
      <c r="S97" s="261">
        <v>5.2684623704234399</v>
      </c>
      <c r="T97" s="261">
        <v>9.5508817873433216</v>
      </c>
      <c r="U97" s="261">
        <v>0.75445887437527714</v>
      </c>
      <c r="V97" s="523">
        <v>0.16605001584757431</v>
      </c>
      <c r="W97" s="144"/>
      <c r="X97" s="469">
        <v>2243.3958015753255</v>
      </c>
      <c r="Y97" s="469"/>
      <c r="Z97" s="469"/>
      <c r="AA97" s="469">
        <v>3.7374130000000001</v>
      </c>
      <c r="AB97" s="469">
        <v>0.82444799999999996</v>
      </c>
      <c r="AC97" s="469">
        <v>0.82444799999999996</v>
      </c>
      <c r="AD97" s="468">
        <v>16.089780000000001</v>
      </c>
      <c r="AE97" s="374"/>
      <c r="AF97" s="144"/>
      <c r="AG97" s="469">
        <v>111.24375320373385</v>
      </c>
      <c r="AH97" s="469">
        <v>6.2780469244392081E-2</v>
      </c>
      <c r="AI97" s="469"/>
      <c r="AJ97" s="469">
        <v>0.34821862438794654</v>
      </c>
      <c r="AK97" s="469">
        <v>4.0691914305490089</v>
      </c>
      <c r="AL97" s="469">
        <v>1.0129531797767373</v>
      </c>
      <c r="AM97" s="469">
        <v>0.17155054317642454</v>
      </c>
      <c r="AN97" s="374">
        <v>0.18367582672444308</v>
      </c>
    </row>
    <row r="98" spans="2:40">
      <c r="B98" s="218" t="s">
        <v>433</v>
      </c>
      <c r="C98" s="218" t="s">
        <v>17</v>
      </c>
      <c r="D98" s="218" t="s">
        <v>434</v>
      </c>
      <c r="E98" s="524"/>
      <c r="F98" s="264">
        <v>19.04268322255589</v>
      </c>
      <c r="G98" s="264"/>
      <c r="H98" s="264"/>
      <c r="I98" s="264">
        <v>1.084693205670457</v>
      </c>
      <c r="J98" s="264">
        <v>5.3945065128938624E-2</v>
      </c>
      <c r="K98" s="264">
        <v>0.95128676246188015</v>
      </c>
      <c r="L98" s="525">
        <v>12.285421833893256</v>
      </c>
      <c r="M98" s="526"/>
      <c r="N98" s="524"/>
      <c r="O98" s="264">
        <v>1.0243893993030422</v>
      </c>
      <c r="P98" s="264">
        <v>6.2596188127568477E-4</v>
      </c>
      <c r="Q98" s="264"/>
      <c r="R98" s="264">
        <v>5.6958356358633506E-2</v>
      </c>
      <c r="S98" s="264">
        <v>0.5319740924298999</v>
      </c>
      <c r="T98" s="264">
        <v>0.51187777609370544</v>
      </c>
      <c r="U98" s="264">
        <v>7.6670697753044997E-2</v>
      </c>
      <c r="V98" s="526">
        <v>8.9799854560238639E-3</v>
      </c>
      <c r="W98" s="145"/>
      <c r="X98" s="218">
        <v>1269.512214837059</v>
      </c>
      <c r="Y98" s="218"/>
      <c r="Z98" s="218"/>
      <c r="AA98" s="218">
        <v>1.9221787251664022</v>
      </c>
      <c r="AB98" s="218">
        <v>0.31622811655718813</v>
      </c>
      <c r="AC98" s="218">
        <v>0.26245849085736733</v>
      </c>
      <c r="AD98" s="467">
        <v>5.273147512231497</v>
      </c>
      <c r="AE98" s="470"/>
      <c r="AF98" s="145"/>
      <c r="AG98" s="218">
        <v>81.802575570518385</v>
      </c>
      <c r="AH98" s="218">
        <v>5.2514775856829218E-2</v>
      </c>
      <c r="AI98" s="218"/>
      <c r="AJ98" s="218">
        <v>0.23447249574006832</v>
      </c>
      <c r="AK98" s="218">
        <v>2.0375483108297887</v>
      </c>
      <c r="AL98" s="218">
        <v>0.50801418422231304</v>
      </c>
      <c r="AM98" s="218">
        <v>0.11711070653493612</v>
      </c>
      <c r="AN98" s="470">
        <v>0.1074431487734476</v>
      </c>
    </row>
    <row r="99" spans="2:40">
      <c r="B99" t="s">
        <v>432</v>
      </c>
      <c r="C99" t="s">
        <v>48</v>
      </c>
      <c r="D99" t="s">
        <v>432</v>
      </c>
      <c r="E99" s="521"/>
      <c r="F99" s="261">
        <v>0</v>
      </c>
      <c r="G99" s="261"/>
      <c r="H99" s="261"/>
      <c r="I99" s="261">
        <v>0</v>
      </c>
      <c r="J99" s="261">
        <v>0</v>
      </c>
      <c r="K99" s="261">
        <v>0</v>
      </c>
      <c r="L99" s="522">
        <v>0</v>
      </c>
      <c r="M99" s="523"/>
      <c r="N99" s="521"/>
      <c r="O99" s="261">
        <v>0</v>
      </c>
      <c r="P99" s="261">
        <v>0</v>
      </c>
      <c r="Q99" s="261"/>
      <c r="R99" s="261">
        <v>0</v>
      </c>
      <c r="S99" s="261">
        <v>0</v>
      </c>
      <c r="T99" s="261">
        <v>0</v>
      </c>
      <c r="U99" s="261">
        <v>0</v>
      </c>
      <c r="V99" s="523">
        <v>0</v>
      </c>
      <c r="W99" s="144"/>
      <c r="X99" s="469">
        <v>0</v>
      </c>
      <c r="Y99" s="469"/>
      <c r="Z99" s="469"/>
      <c r="AA99" s="469">
        <v>0</v>
      </c>
      <c r="AB99" s="469">
        <v>0</v>
      </c>
      <c r="AC99" s="469">
        <v>0</v>
      </c>
      <c r="AD99" s="468">
        <v>0</v>
      </c>
      <c r="AE99" s="374"/>
      <c r="AF99" s="144"/>
      <c r="AG99" s="469">
        <v>0</v>
      </c>
      <c r="AH99" s="469">
        <v>0</v>
      </c>
      <c r="AI99" s="469"/>
      <c r="AJ99" s="469">
        <v>0</v>
      </c>
      <c r="AK99" s="469">
        <v>0</v>
      </c>
      <c r="AL99" s="469">
        <v>0</v>
      </c>
      <c r="AM99" s="469">
        <v>0</v>
      </c>
      <c r="AN99" s="374">
        <v>0</v>
      </c>
    </row>
    <row r="100" spans="2:40">
      <c r="B100" t="s">
        <v>432</v>
      </c>
      <c r="C100" t="s">
        <v>48</v>
      </c>
      <c r="D100" t="s">
        <v>96</v>
      </c>
      <c r="E100" s="521"/>
      <c r="F100" s="261">
        <v>90.806160935467304</v>
      </c>
      <c r="G100" s="261"/>
      <c r="H100" s="261"/>
      <c r="I100" s="261">
        <v>2.6631489499825003</v>
      </c>
      <c r="J100" s="261">
        <v>1.6957604624800001E-2</v>
      </c>
      <c r="K100" s="261">
        <v>0.18115911438900001</v>
      </c>
      <c r="L100" s="522">
        <v>1.36523061537E-2</v>
      </c>
      <c r="M100" s="523"/>
      <c r="N100" s="521"/>
      <c r="O100" s="261">
        <v>16.242830673219025</v>
      </c>
      <c r="P100" s="261">
        <v>3.9534338455942111E-3</v>
      </c>
      <c r="Q100" s="261"/>
      <c r="R100" s="261">
        <v>0.1860772204646286</v>
      </c>
      <c r="S100" s="261">
        <v>5.4057276639203535E-3</v>
      </c>
      <c r="T100" s="261">
        <v>1.4705693083749928E-2</v>
      </c>
      <c r="U100" s="261">
        <v>0.45512861435008617</v>
      </c>
      <c r="V100" s="523">
        <v>1.6405866759780986E-2</v>
      </c>
      <c r="W100" s="144"/>
      <c r="X100" s="469">
        <v>1816.123218709346</v>
      </c>
      <c r="Y100" s="469"/>
      <c r="Z100" s="469"/>
      <c r="AA100" s="469">
        <v>3.492391</v>
      </c>
      <c r="AB100" s="469">
        <v>4.7826100000000003E-2</v>
      </c>
      <c r="AC100" s="469">
        <v>2.2826099999999998E-2</v>
      </c>
      <c r="AD100" s="468">
        <v>4.5145999999999997E-3</v>
      </c>
      <c r="AE100" s="374"/>
      <c r="AF100" s="144"/>
      <c r="AG100" s="469">
        <v>324.85661346438047</v>
      </c>
      <c r="AH100" s="469">
        <v>0.26218037144782358</v>
      </c>
      <c r="AI100" s="469"/>
      <c r="AJ100" s="469">
        <v>0.74879118332143568</v>
      </c>
      <c r="AK100" s="469">
        <v>2.7341405096672548E-2</v>
      </c>
      <c r="AL100" s="469">
        <v>1.6772807415215977E-2</v>
      </c>
      <c r="AM100" s="469">
        <v>0.38872986113461339</v>
      </c>
      <c r="AN100" s="374">
        <v>0.19336470633929917</v>
      </c>
    </row>
    <row r="101" spans="2:40">
      <c r="B101" t="s">
        <v>432</v>
      </c>
      <c r="C101" t="s">
        <v>48</v>
      </c>
      <c r="D101" t="s">
        <v>50</v>
      </c>
      <c r="E101" s="521"/>
      <c r="F101" s="261">
        <v>96.608452524734574</v>
      </c>
      <c r="G101" s="261"/>
      <c r="H101" s="261"/>
      <c r="I101" s="261">
        <v>1.9381000351709501</v>
      </c>
      <c r="J101" s="261">
        <v>0.23799993327720001</v>
      </c>
      <c r="K101" s="261">
        <v>3.2251999280488</v>
      </c>
      <c r="L101" s="522">
        <v>67.104111467249993</v>
      </c>
      <c r="M101" s="523"/>
      <c r="N101" s="521"/>
      <c r="O101" s="261">
        <v>4.8254298760397401</v>
      </c>
      <c r="P101" s="261">
        <v>8.8458602711765483E-4</v>
      </c>
      <c r="Q101" s="261"/>
      <c r="R101" s="261">
        <v>8.049142874283903E-2</v>
      </c>
      <c r="S101" s="261">
        <v>0.7517659829270581</v>
      </c>
      <c r="T101" s="261">
        <v>0.72336661683258363</v>
      </c>
      <c r="U101" s="261">
        <v>0.10834817574432239</v>
      </c>
      <c r="V101" s="523">
        <v>1.2690181136796713E-2</v>
      </c>
      <c r="W101" s="144"/>
      <c r="X101" s="469">
        <v>1932.1690504946914</v>
      </c>
      <c r="Y101" s="469"/>
      <c r="Z101" s="469"/>
      <c r="AA101" s="469">
        <v>4.1921530000000002</v>
      </c>
      <c r="AB101" s="469">
        <v>1.187772</v>
      </c>
      <c r="AC101" s="469">
        <v>0.78515440000000003</v>
      </c>
      <c r="AD101" s="468">
        <v>24.799499999999998</v>
      </c>
      <c r="AE101" s="374"/>
      <c r="AF101" s="144"/>
      <c r="AG101" s="469">
        <v>96.50859752079478</v>
      </c>
      <c r="AH101" s="469">
        <v>5.4464676568196799E-2</v>
      </c>
      <c r="AI101" s="469"/>
      <c r="AJ101" s="469">
        <v>0.30209418598772314</v>
      </c>
      <c r="AK101" s="469">
        <v>3.5301933519512021</v>
      </c>
      <c r="AL101" s="469">
        <v>0.87877914866325457</v>
      </c>
      <c r="AM101" s="469">
        <v>0.14882725410716893</v>
      </c>
      <c r="AN101" s="374">
        <v>0.15934644350936503</v>
      </c>
    </row>
    <row r="102" spans="2:40">
      <c r="B102" t="s">
        <v>432</v>
      </c>
      <c r="C102" t="s">
        <v>48</v>
      </c>
      <c r="D102" t="s">
        <v>434</v>
      </c>
      <c r="E102" s="521"/>
      <c r="F102" s="261">
        <v>63.475610741852968</v>
      </c>
      <c r="G102" s="261"/>
      <c r="H102" s="261"/>
      <c r="I102" s="261">
        <v>1.0846932056704577</v>
      </c>
      <c r="J102" s="261">
        <v>5.3945065128938652E-2</v>
      </c>
      <c r="K102" s="261">
        <v>0.95128676246188071</v>
      </c>
      <c r="L102" s="522">
        <v>12.285421833893267</v>
      </c>
      <c r="M102" s="523"/>
      <c r="N102" s="521"/>
      <c r="O102" s="261">
        <v>4.0901287785259299</v>
      </c>
      <c r="P102" s="261">
        <v>8.2837504671104368E-4</v>
      </c>
      <c r="Q102" s="261"/>
      <c r="R102" s="261">
        <v>6.1392137443294408E-2</v>
      </c>
      <c r="S102" s="261">
        <v>0.43386888273003765</v>
      </c>
      <c r="T102" s="261">
        <v>0.41824403002824551</v>
      </c>
      <c r="U102" s="261">
        <v>9.9119321405616093E-2</v>
      </c>
      <c r="V102" s="523">
        <v>8.6377103909488755E-3</v>
      </c>
      <c r="W102" s="144"/>
      <c r="X102" s="469">
        <v>1269.5122148370592</v>
      </c>
      <c r="Y102" s="469"/>
      <c r="Z102" s="469"/>
      <c r="AA102" s="469">
        <v>1.9221787251664035</v>
      </c>
      <c r="AB102" s="469">
        <v>0.31622811655718847</v>
      </c>
      <c r="AC102" s="469">
        <v>0.26245849085736755</v>
      </c>
      <c r="AD102" s="468">
        <v>5.2731475122314952</v>
      </c>
      <c r="AE102" s="374"/>
      <c r="AF102" s="144"/>
      <c r="AG102" s="469">
        <v>81.802575570518485</v>
      </c>
      <c r="AH102" s="469">
        <v>5.2514775856829232E-2</v>
      </c>
      <c r="AI102" s="469"/>
      <c r="AJ102" s="469">
        <v>0.23447249574006829</v>
      </c>
      <c r="AK102" s="469">
        <v>2.0375483108297892</v>
      </c>
      <c r="AL102" s="469">
        <v>0.50801418422231337</v>
      </c>
      <c r="AM102" s="469">
        <v>0.11711070653493619</v>
      </c>
      <c r="AN102" s="374">
        <v>0.1074431487734477</v>
      </c>
    </row>
    <row r="103" spans="2:40">
      <c r="B103" t="s">
        <v>433</v>
      </c>
      <c r="C103" t="s">
        <v>48</v>
      </c>
      <c r="D103" t="s">
        <v>432</v>
      </c>
      <c r="E103" s="521"/>
      <c r="F103" s="261">
        <v>0</v>
      </c>
      <c r="G103" s="261"/>
      <c r="H103" s="261"/>
      <c r="I103" s="261">
        <v>0</v>
      </c>
      <c r="J103" s="261">
        <v>0</v>
      </c>
      <c r="K103" s="261">
        <v>0</v>
      </c>
      <c r="L103" s="522">
        <v>0</v>
      </c>
      <c r="M103" s="523"/>
      <c r="N103" s="521"/>
      <c r="O103" s="261">
        <v>0</v>
      </c>
      <c r="P103" s="261">
        <v>0</v>
      </c>
      <c r="Q103" s="261"/>
      <c r="R103" s="261">
        <v>0</v>
      </c>
      <c r="S103" s="261">
        <v>0</v>
      </c>
      <c r="T103" s="261">
        <v>0</v>
      </c>
      <c r="U103" s="261">
        <v>0</v>
      </c>
      <c r="V103" s="523">
        <v>0</v>
      </c>
      <c r="W103" s="144"/>
      <c r="X103" s="469">
        <v>0</v>
      </c>
      <c r="Y103" s="469"/>
      <c r="Z103" s="469"/>
      <c r="AA103" s="469">
        <v>0</v>
      </c>
      <c r="AB103" s="469">
        <v>0</v>
      </c>
      <c r="AC103" s="469">
        <v>0</v>
      </c>
      <c r="AD103" s="468">
        <v>0</v>
      </c>
      <c r="AE103" s="374"/>
      <c r="AF103" s="144"/>
      <c r="AG103" s="469">
        <v>0</v>
      </c>
      <c r="AH103" s="469">
        <v>0</v>
      </c>
      <c r="AI103" s="469"/>
      <c r="AJ103" s="469">
        <v>0</v>
      </c>
      <c r="AK103" s="469">
        <v>0</v>
      </c>
      <c r="AL103" s="469">
        <v>0</v>
      </c>
      <c r="AM103" s="469">
        <v>0</v>
      </c>
      <c r="AN103" s="374">
        <v>0</v>
      </c>
    </row>
    <row r="104" spans="2:40">
      <c r="B104" t="s">
        <v>433</v>
      </c>
      <c r="C104" t="s">
        <v>48</v>
      </c>
      <c r="D104" t="s">
        <v>96</v>
      </c>
      <c r="E104" s="521"/>
      <c r="F104" s="261">
        <v>95.147510146258071</v>
      </c>
      <c r="G104" s="261"/>
      <c r="H104" s="261"/>
      <c r="I104" s="261">
        <v>6.452665662906</v>
      </c>
      <c r="J104" s="261">
        <v>4.8493797392715005E-2</v>
      </c>
      <c r="K104" s="261">
        <v>1.1167201476687001</v>
      </c>
      <c r="L104" s="522">
        <v>0.30314003953999996</v>
      </c>
      <c r="M104" s="523"/>
      <c r="N104" s="521"/>
      <c r="O104" s="261">
        <v>17.07034068347517</v>
      </c>
      <c r="P104" s="261">
        <v>2.0229259477668359E-2</v>
      </c>
      <c r="Q104" s="261"/>
      <c r="R104" s="261">
        <v>1.0955699088291515</v>
      </c>
      <c r="S104" s="261">
        <v>2.7660477410269824E-2</v>
      </c>
      <c r="T104" s="261">
        <v>0.11538976140963068</v>
      </c>
      <c r="U104" s="261">
        <v>0.60494410478972216</v>
      </c>
      <c r="V104" s="523">
        <v>0.12908048270713604</v>
      </c>
      <c r="W104" s="144"/>
      <c r="X104" s="469">
        <v>1902.9502029251614</v>
      </c>
      <c r="Y104" s="469"/>
      <c r="Z104" s="469"/>
      <c r="AA104" s="469">
        <v>7.3419689999999997</v>
      </c>
      <c r="AB104" s="469">
        <v>0.32642490000000002</v>
      </c>
      <c r="AC104" s="469">
        <v>0.32642490000000002</v>
      </c>
      <c r="AD104" s="468">
        <v>0.119171</v>
      </c>
      <c r="AE104" s="374"/>
      <c r="AF104" s="144"/>
      <c r="AG104" s="469">
        <v>341.40681366950338</v>
      </c>
      <c r="AH104" s="469">
        <v>0.27553745718186767</v>
      </c>
      <c r="AI104" s="469"/>
      <c r="AJ104" s="469">
        <v>0.78693922612604816</v>
      </c>
      <c r="AK104" s="469">
        <v>2.8734344964553408E-2</v>
      </c>
      <c r="AL104" s="469">
        <v>1.7627317710584275E-2</v>
      </c>
      <c r="AM104" s="469">
        <v>0.40853415866415371</v>
      </c>
      <c r="AN104" s="374">
        <v>0.20321589751066529</v>
      </c>
    </row>
    <row r="105" spans="2:40">
      <c r="B105" t="s">
        <v>433</v>
      </c>
      <c r="C105" t="s">
        <v>48</v>
      </c>
      <c r="D105" t="s">
        <v>50</v>
      </c>
      <c r="E105" s="521"/>
      <c r="F105" s="261">
        <v>109.71854435505996</v>
      </c>
      <c r="G105" s="261"/>
      <c r="H105" s="261"/>
      <c r="I105" s="261">
        <v>1.6031999331829998</v>
      </c>
      <c r="J105" s="261">
        <v>0.31419995303849996</v>
      </c>
      <c r="K105" s="261">
        <v>4.4351988674939999</v>
      </c>
      <c r="L105" s="522">
        <v>52.528394270865</v>
      </c>
      <c r="M105" s="523"/>
      <c r="N105" s="521"/>
      <c r="O105" s="261">
        <v>5.4687743039929675</v>
      </c>
      <c r="P105" s="261">
        <v>6.0951675786149245E-3</v>
      </c>
      <c r="Q105" s="261"/>
      <c r="R105" s="261">
        <v>0.18358658457066204</v>
      </c>
      <c r="S105" s="261">
        <v>5.1799819411268357</v>
      </c>
      <c r="T105" s="261">
        <v>9.3904808845202563</v>
      </c>
      <c r="U105" s="261">
        <v>0.7417882239277932</v>
      </c>
      <c r="V105" s="523">
        <v>0.16326131287241752</v>
      </c>
      <c r="W105" s="144"/>
      <c r="X105" s="469">
        <v>2194.3708871011991</v>
      </c>
      <c r="Y105" s="469"/>
      <c r="Z105" s="469"/>
      <c r="AA105" s="469">
        <v>5.4346699999999997</v>
      </c>
      <c r="AB105" s="469">
        <v>2.4781149999999998</v>
      </c>
      <c r="AC105" s="469">
        <v>1.5594760000000001</v>
      </c>
      <c r="AD105" s="468">
        <v>26.159369999999999</v>
      </c>
      <c r="AE105" s="374"/>
      <c r="AF105" s="144"/>
      <c r="AG105" s="469">
        <v>109.37548607985934</v>
      </c>
      <c r="AH105" s="469">
        <v>6.1726111733675024E-2</v>
      </c>
      <c r="AI105" s="469"/>
      <c r="AJ105" s="469">
        <v>0.34237051706390342</v>
      </c>
      <c r="AK105" s="469">
        <v>4.0008519836002581</v>
      </c>
      <c r="AL105" s="469">
        <v>0.99594128410350247</v>
      </c>
      <c r="AM105" s="469">
        <v>0.16866946239059066</v>
      </c>
      <c r="AN105" s="374">
        <v>0.18059110961775499</v>
      </c>
    </row>
    <row r="106" spans="2:40">
      <c r="B106" s="218" t="s">
        <v>433</v>
      </c>
      <c r="C106" s="218" t="s">
        <v>48</v>
      </c>
      <c r="D106" s="218" t="s">
        <v>434</v>
      </c>
      <c r="E106" s="524"/>
      <c r="F106" s="264">
        <v>63.475610741852954</v>
      </c>
      <c r="G106" s="264"/>
      <c r="H106" s="264"/>
      <c r="I106" s="264">
        <v>1.0846932056704577</v>
      </c>
      <c r="J106" s="264">
        <v>5.3945065128938638E-2</v>
      </c>
      <c r="K106" s="264">
        <v>0.95128676246188071</v>
      </c>
      <c r="L106" s="525">
        <v>12.285421833893269</v>
      </c>
      <c r="M106" s="526"/>
      <c r="N106" s="524"/>
      <c r="O106" s="264">
        <v>3.4146313310101459</v>
      </c>
      <c r="P106" s="264">
        <v>6.2596188127568531E-4</v>
      </c>
      <c r="Q106" s="264"/>
      <c r="R106" s="264">
        <v>5.6958356358633513E-2</v>
      </c>
      <c r="S106" s="264">
        <v>0.53197409242990024</v>
      </c>
      <c r="T106" s="264">
        <v>0.51187777609370577</v>
      </c>
      <c r="U106" s="264">
        <v>7.6670697753044956E-2</v>
      </c>
      <c r="V106" s="526">
        <v>8.9799854560238708E-3</v>
      </c>
      <c r="W106" s="145"/>
      <c r="X106" s="218">
        <v>1269.5122148370592</v>
      </c>
      <c r="Y106" s="218"/>
      <c r="Z106" s="218"/>
      <c r="AA106" s="218">
        <v>1.922178725166404</v>
      </c>
      <c r="AB106" s="218">
        <v>0.31622811655718835</v>
      </c>
      <c r="AC106" s="218">
        <v>0.26245849085736755</v>
      </c>
      <c r="AD106" s="467">
        <v>5.273147512231497</v>
      </c>
      <c r="AE106" s="470"/>
      <c r="AF106" s="145"/>
      <c r="AG106" s="218">
        <v>81.802575570518471</v>
      </c>
      <c r="AH106" s="218">
        <v>5.2514775856829239E-2</v>
      </c>
      <c r="AI106" s="218"/>
      <c r="AJ106" s="218">
        <v>0.23447249574006837</v>
      </c>
      <c r="AK106" s="218">
        <v>2.0375483108297892</v>
      </c>
      <c r="AL106" s="218">
        <v>0.50801418422231337</v>
      </c>
      <c r="AM106" s="218">
        <v>0.11711070653493616</v>
      </c>
      <c r="AN106" s="470">
        <v>0.10744314877344772</v>
      </c>
    </row>
    <row r="113" spans="6:19">
      <c r="L113"/>
    </row>
    <row r="114" spans="6:19">
      <c r="F114" s="37"/>
      <c r="G114" s="37"/>
      <c r="H114" s="37"/>
      <c r="I114" s="37"/>
      <c r="J114" s="37"/>
      <c r="K114" s="37"/>
      <c r="L114" s="37"/>
      <c r="M114" s="37"/>
      <c r="N114" s="37"/>
      <c r="O114" s="37"/>
      <c r="P114" s="37"/>
      <c r="Q114" s="37"/>
      <c r="R114" s="37"/>
      <c r="S114" s="37"/>
    </row>
    <row r="115" spans="6:19">
      <c r="F115" s="37"/>
      <c r="G115" s="37"/>
      <c r="H115" s="37"/>
      <c r="I115" s="37"/>
      <c r="J115" s="37"/>
      <c r="K115" s="37"/>
      <c r="L115" s="37"/>
      <c r="M115" s="37"/>
      <c r="N115" s="37"/>
      <c r="O115" s="37"/>
      <c r="P115" s="37"/>
      <c r="Q115" s="37"/>
      <c r="R115" s="37"/>
      <c r="S115" s="37"/>
    </row>
    <row r="116" spans="6:19">
      <c r="F116" s="37"/>
      <c r="G116" s="37"/>
      <c r="H116" s="37"/>
      <c r="I116" s="37"/>
      <c r="J116" s="37"/>
      <c r="K116" s="37"/>
      <c r="L116" s="37"/>
      <c r="M116" s="37"/>
      <c r="N116" s="37"/>
      <c r="O116" s="37"/>
      <c r="P116" s="37"/>
      <c r="Q116" s="37"/>
      <c r="R116" s="37"/>
      <c r="S116" s="37"/>
    </row>
    <row r="117" spans="6:19">
      <c r="F117" s="37"/>
      <c r="G117" s="37"/>
      <c r="H117" s="37"/>
      <c r="I117" s="37"/>
      <c r="J117" s="37"/>
      <c r="K117" s="37"/>
      <c r="L117" s="37"/>
      <c r="M117" s="37"/>
      <c r="N117" s="37"/>
      <c r="O117" s="37"/>
      <c r="P117" s="37"/>
      <c r="Q117" s="37"/>
      <c r="R117" s="37"/>
      <c r="S117" s="37"/>
    </row>
    <row r="118" spans="6:19">
      <c r="F118" s="37"/>
      <c r="G118" s="37"/>
      <c r="H118" s="37"/>
      <c r="I118" s="37"/>
      <c r="J118" s="37"/>
      <c r="K118" s="37"/>
      <c r="L118" s="37"/>
      <c r="M118" s="37"/>
      <c r="N118" s="37"/>
      <c r="O118" s="37"/>
      <c r="P118" s="37"/>
      <c r="Q118" s="37"/>
      <c r="R118" s="37"/>
      <c r="S118" s="37"/>
    </row>
    <row r="119" spans="6:19">
      <c r="F119" s="37"/>
      <c r="G119" s="37"/>
      <c r="H119" s="37"/>
      <c r="I119" s="37"/>
      <c r="J119" s="37"/>
      <c r="K119" s="37"/>
      <c r="L119" s="37"/>
      <c r="M119" s="37"/>
      <c r="N119" s="37"/>
      <c r="O119" s="37"/>
      <c r="P119" s="37"/>
      <c r="Q119" s="37"/>
      <c r="R119" s="37"/>
      <c r="S119" s="37"/>
    </row>
    <row r="120" spans="6:19">
      <c r="F120" s="37"/>
      <c r="G120" s="37"/>
      <c r="H120" s="37"/>
      <c r="I120" s="37"/>
      <c r="J120" s="37"/>
      <c r="K120" s="37"/>
      <c r="L120" s="37"/>
      <c r="M120" s="37"/>
      <c r="N120" s="37"/>
      <c r="O120" s="37"/>
      <c r="P120" s="37"/>
      <c r="Q120" s="37"/>
      <c r="R120" s="37"/>
      <c r="S120" s="37"/>
    </row>
    <row r="121" spans="6:19">
      <c r="F121" s="37"/>
      <c r="G121" s="37"/>
      <c r="H121" s="37"/>
      <c r="I121" s="37"/>
      <c r="J121" s="37"/>
      <c r="K121" s="37"/>
      <c r="L121" s="37"/>
      <c r="M121" s="37"/>
      <c r="N121" s="37"/>
      <c r="O121" s="37"/>
      <c r="P121" s="37"/>
      <c r="Q121" s="37"/>
      <c r="R121" s="37"/>
      <c r="S121" s="37"/>
    </row>
    <row r="122" spans="6:19">
      <c r="F122" s="37"/>
      <c r="G122" s="37"/>
      <c r="H122" s="37"/>
      <c r="I122" s="37"/>
      <c r="J122" s="37"/>
      <c r="K122" s="37"/>
      <c r="L122" s="37"/>
      <c r="M122" s="37"/>
      <c r="N122" s="37"/>
      <c r="O122" s="37"/>
      <c r="P122" s="37"/>
      <c r="Q122" s="37"/>
      <c r="R122" s="37"/>
      <c r="S122" s="37"/>
    </row>
    <row r="123" spans="6:19">
      <c r="F123" s="37"/>
      <c r="G123" s="37"/>
      <c r="H123" s="37"/>
      <c r="I123" s="37"/>
      <c r="J123" s="37"/>
      <c r="K123" s="37"/>
      <c r="L123" s="37"/>
      <c r="M123" s="37"/>
      <c r="N123" s="37"/>
      <c r="O123" s="37"/>
      <c r="P123" s="37"/>
      <c r="Q123" s="37"/>
      <c r="R123" s="37"/>
      <c r="S123" s="37"/>
    </row>
    <row r="124" spans="6:19">
      <c r="F124" s="37"/>
      <c r="G124" s="37"/>
      <c r="H124" s="37"/>
      <c r="I124" s="37"/>
      <c r="J124" s="37"/>
      <c r="K124" s="37"/>
      <c r="L124" s="37"/>
      <c r="M124" s="37"/>
      <c r="N124" s="37"/>
      <c r="O124" s="37"/>
      <c r="P124" s="37"/>
      <c r="Q124" s="37"/>
      <c r="R124" s="37"/>
      <c r="S124" s="37"/>
    </row>
    <row r="125" spans="6:19">
      <c r="F125" s="37"/>
      <c r="G125" s="37"/>
      <c r="H125" s="37"/>
      <c r="I125" s="37"/>
      <c r="J125" s="37"/>
      <c r="K125" s="37"/>
      <c r="L125" s="37"/>
      <c r="M125" s="37"/>
      <c r="N125" s="37"/>
      <c r="O125" s="37"/>
      <c r="P125" s="37"/>
      <c r="Q125" s="37"/>
      <c r="R125" s="37"/>
      <c r="S125" s="37"/>
    </row>
    <row r="126" spans="6:19">
      <c r="F126" s="37"/>
      <c r="G126" s="37"/>
      <c r="H126" s="37"/>
      <c r="I126" s="37"/>
      <c r="J126" s="37"/>
      <c r="K126" s="37"/>
      <c r="L126" s="37"/>
      <c r="M126" s="37"/>
      <c r="N126" s="37"/>
      <c r="O126" s="37"/>
      <c r="P126" s="37"/>
      <c r="Q126" s="37"/>
      <c r="R126" s="37"/>
      <c r="S126" s="37"/>
    </row>
    <row r="127" spans="6:19">
      <c r="F127" s="37"/>
      <c r="G127" s="37"/>
      <c r="H127" s="37"/>
      <c r="I127" s="37"/>
      <c r="J127" s="37"/>
      <c r="K127" s="37"/>
      <c r="L127" s="37"/>
      <c r="M127" s="37"/>
      <c r="N127" s="37"/>
      <c r="O127" s="37"/>
      <c r="P127" s="37"/>
      <c r="Q127" s="37"/>
      <c r="R127" s="37"/>
      <c r="S127" s="37"/>
    </row>
    <row r="128" spans="6:19">
      <c r="F128" s="37"/>
      <c r="G128" s="37"/>
      <c r="H128" s="37"/>
      <c r="I128" s="37"/>
      <c r="J128" s="37"/>
      <c r="K128" s="37"/>
      <c r="L128" s="37"/>
      <c r="M128" s="37"/>
      <c r="N128" s="37"/>
      <c r="O128" s="37"/>
      <c r="P128" s="37"/>
      <c r="Q128" s="37"/>
      <c r="R128" s="37"/>
      <c r="S128" s="37"/>
    </row>
    <row r="129" spans="6:19">
      <c r="F129" s="37"/>
      <c r="G129" s="37"/>
      <c r="H129" s="37"/>
      <c r="I129" s="37"/>
      <c r="J129" s="37"/>
      <c r="K129" s="37"/>
      <c r="L129" s="37"/>
      <c r="M129" s="37"/>
      <c r="N129" s="37"/>
      <c r="O129" s="37"/>
      <c r="P129" s="37"/>
      <c r="Q129" s="37"/>
      <c r="R129" s="37"/>
      <c r="S129" s="37"/>
    </row>
    <row r="130" spans="6:19">
      <c r="F130" s="37"/>
      <c r="G130" s="37"/>
      <c r="H130" s="37"/>
      <c r="I130" s="37"/>
      <c r="J130" s="37"/>
      <c r="K130" s="37"/>
      <c r="L130" s="37"/>
      <c r="M130" s="37"/>
      <c r="N130" s="37"/>
      <c r="O130" s="37"/>
      <c r="P130" s="37"/>
      <c r="Q130" s="37"/>
      <c r="R130" s="37"/>
      <c r="S130" s="37"/>
    </row>
    <row r="131" spans="6:19">
      <c r="F131" s="37"/>
      <c r="G131" s="37"/>
      <c r="H131" s="37"/>
      <c r="I131" s="37"/>
      <c r="J131" s="37"/>
      <c r="K131" s="37"/>
      <c r="L131" s="37"/>
      <c r="M131" s="37"/>
      <c r="N131" s="37"/>
      <c r="O131" s="37"/>
      <c r="P131" s="37"/>
      <c r="Q131" s="37"/>
      <c r="R131" s="37"/>
      <c r="S131" s="37"/>
    </row>
    <row r="132" spans="6:19">
      <c r="F132" s="37"/>
      <c r="G132" s="37"/>
      <c r="H132" s="37"/>
      <c r="I132" s="37"/>
      <c r="J132" s="37"/>
      <c r="K132" s="37"/>
      <c r="L132" s="37"/>
      <c r="M132" s="37"/>
      <c r="N132" s="37"/>
      <c r="O132" s="37"/>
      <c r="P132" s="37"/>
      <c r="Q132" s="37"/>
      <c r="R132" s="37"/>
      <c r="S132" s="37"/>
    </row>
    <row r="133" spans="6:19">
      <c r="F133" s="37"/>
      <c r="G133" s="37"/>
      <c r="H133" s="37"/>
      <c r="I133" s="37"/>
      <c r="J133" s="37"/>
      <c r="K133" s="37"/>
      <c r="L133" s="37"/>
      <c r="M133" s="37"/>
      <c r="N133" s="37"/>
      <c r="O133" s="37"/>
      <c r="P133" s="37"/>
      <c r="Q133" s="37"/>
      <c r="R133" s="37"/>
      <c r="S133" s="37"/>
    </row>
    <row r="134" spans="6:19">
      <c r="F134" s="37"/>
      <c r="G134" s="37"/>
      <c r="H134" s="37"/>
      <c r="I134" s="37"/>
      <c r="J134" s="37"/>
      <c r="K134" s="37"/>
      <c r="L134" s="37"/>
      <c r="M134" s="37"/>
      <c r="N134" s="37"/>
      <c r="O134" s="37"/>
      <c r="P134" s="37"/>
      <c r="Q134" s="37"/>
      <c r="R134" s="37"/>
      <c r="S134" s="37"/>
    </row>
    <row r="135" spans="6:19">
      <c r="F135" s="37"/>
      <c r="G135" s="37"/>
      <c r="H135" s="37"/>
      <c r="I135" s="37"/>
      <c r="J135" s="37"/>
      <c r="K135" s="37"/>
      <c r="L135" s="37"/>
      <c r="M135" s="37"/>
      <c r="N135" s="37"/>
      <c r="O135" s="37"/>
      <c r="P135" s="37"/>
      <c r="Q135" s="37"/>
      <c r="R135" s="37"/>
      <c r="S135" s="37"/>
    </row>
    <row r="136" spans="6:19">
      <c r="F136" s="37"/>
      <c r="G136" s="37"/>
      <c r="H136" s="37"/>
      <c r="I136" s="37"/>
      <c r="J136" s="37"/>
      <c r="K136" s="37"/>
      <c r="L136" s="37"/>
      <c r="M136" s="37"/>
      <c r="N136" s="37"/>
      <c r="O136" s="37"/>
      <c r="P136" s="37"/>
      <c r="Q136" s="37"/>
      <c r="R136" s="37"/>
      <c r="S136" s="37"/>
    </row>
    <row r="137" spans="6:19">
      <c r="F137" s="37"/>
      <c r="G137" s="37"/>
      <c r="H137" s="37"/>
      <c r="I137" s="37"/>
      <c r="J137" s="37"/>
      <c r="K137" s="37"/>
      <c r="L137" s="37"/>
      <c r="M137" s="37"/>
      <c r="N137" s="37"/>
      <c r="O137" s="37"/>
      <c r="P137" s="37"/>
      <c r="Q137" s="37"/>
      <c r="R137" s="37"/>
      <c r="S137" s="37"/>
    </row>
    <row r="138" spans="6:19">
      <c r="F138" s="37"/>
      <c r="G138" s="37"/>
      <c r="H138" s="37"/>
      <c r="I138" s="37"/>
      <c r="J138" s="37"/>
      <c r="K138" s="37"/>
      <c r="L138" s="37"/>
      <c r="M138" s="37"/>
      <c r="N138" s="37"/>
      <c r="O138" s="37"/>
      <c r="P138" s="37"/>
      <c r="Q138" s="37"/>
      <c r="R138" s="37"/>
      <c r="S138" s="37"/>
    </row>
    <row r="139" spans="6:19">
      <c r="F139" s="37"/>
      <c r="G139" s="37"/>
      <c r="H139" s="37"/>
      <c r="I139" s="37"/>
      <c r="J139" s="37"/>
      <c r="K139" s="37"/>
      <c r="L139" s="37"/>
      <c r="M139" s="37"/>
      <c r="N139" s="37"/>
      <c r="O139" s="37"/>
      <c r="P139" s="37"/>
      <c r="Q139" s="37"/>
      <c r="R139" s="37"/>
      <c r="S139" s="37"/>
    </row>
    <row r="140" spans="6:19">
      <c r="F140" s="37"/>
      <c r="G140" s="37"/>
      <c r="H140" s="37"/>
      <c r="I140" s="37"/>
      <c r="J140" s="37"/>
      <c r="K140" s="37"/>
      <c r="L140" s="37"/>
      <c r="M140" s="37"/>
      <c r="N140" s="37"/>
      <c r="O140" s="37"/>
      <c r="P140" s="37"/>
      <c r="Q140" s="37"/>
      <c r="R140" s="37"/>
      <c r="S140" s="37"/>
    </row>
    <row r="141" spans="6:19">
      <c r="F141" s="37"/>
      <c r="G141" s="37"/>
      <c r="H141" s="37"/>
      <c r="I141" s="37"/>
      <c r="J141" s="37"/>
      <c r="K141" s="37"/>
      <c r="L141" s="37"/>
      <c r="M141" s="37"/>
      <c r="N141" s="37"/>
      <c r="O141" s="37"/>
      <c r="P141" s="37"/>
      <c r="Q141" s="37"/>
      <c r="R141" s="37"/>
      <c r="S141" s="37"/>
    </row>
    <row r="142" spans="6:19">
      <c r="F142" s="37"/>
      <c r="G142" s="37"/>
      <c r="H142" s="37"/>
      <c r="I142" s="37"/>
      <c r="J142" s="37"/>
      <c r="K142" s="37"/>
      <c r="L142" s="37"/>
      <c r="M142" s="37"/>
      <c r="N142" s="37"/>
      <c r="O142" s="37"/>
      <c r="P142" s="37"/>
      <c r="Q142" s="37"/>
      <c r="R142" s="37"/>
      <c r="S142" s="37"/>
    </row>
    <row r="143" spans="6:19">
      <c r="F143" s="37"/>
      <c r="G143" s="37"/>
      <c r="H143" s="37"/>
      <c r="I143" s="37"/>
      <c r="J143" s="37"/>
      <c r="K143" s="37"/>
      <c r="L143" s="37"/>
      <c r="M143" s="37"/>
      <c r="N143" s="37"/>
      <c r="O143" s="37"/>
      <c r="P143" s="37"/>
      <c r="Q143" s="37"/>
      <c r="R143" s="37"/>
      <c r="S143" s="37"/>
    </row>
    <row r="144" spans="6:19">
      <c r="F144" s="37"/>
      <c r="G144" s="37"/>
      <c r="H144" s="37"/>
      <c r="I144" s="37"/>
      <c r="J144" s="37"/>
      <c r="K144" s="37"/>
      <c r="L144" s="37"/>
      <c r="M144" s="37"/>
      <c r="N144" s="37"/>
      <c r="O144" s="37"/>
      <c r="P144" s="37"/>
      <c r="Q144" s="37"/>
      <c r="R144" s="37"/>
      <c r="S144" s="37"/>
    </row>
    <row r="145" spans="6:19">
      <c r="F145" s="37"/>
      <c r="G145" s="37"/>
      <c r="H145" s="37"/>
      <c r="I145" s="37"/>
      <c r="J145" s="37"/>
      <c r="K145" s="37"/>
      <c r="L145" s="37"/>
      <c r="M145" s="37"/>
      <c r="N145" s="37"/>
      <c r="O145" s="37"/>
      <c r="P145" s="37"/>
      <c r="Q145" s="37"/>
      <c r="R145" s="37"/>
      <c r="S145" s="37"/>
    </row>
  </sheetData>
  <dataConsolidate/>
  <mergeCells count="14">
    <mergeCell ref="B5:D5"/>
    <mergeCell ref="E73:M73"/>
    <mergeCell ref="N73:V73"/>
    <mergeCell ref="W73:AE73"/>
    <mergeCell ref="AF73:AN73"/>
    <mergeCell ref="W21:AE21"/>
    <mergeCell ref="AF21:AN21"/>
    <mergeCell ref="E21:M21"/>
    <mergeCell ref="N21:V21"/>
    <mergeCell ref="B10:D10"/>
    <mergeCell ref="B9:D9"/>
    <mergeCell ref="B8:D8"/>
    <mergeCell ref="B7:D7"/>
    <mergeCell ref="B6:D6"/>
  </mergeCells>
  <conditionalFormatting sqref="A23:A54">
    <cfRule type="cellIs" dxfId="4" priority="1" operator="equal">
      <formula>TRUE</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U231"/>
  <sheetViews>
    <sheetView zoomScale="70" zoomScaleNormal="70" workbookViewId="0"/>
  </sheetViews>
  <sheetFormatPr defaultRowHeight="15"/>
  <cols>
    <col min="1" max="1" width="9.140625" style="417" customWidth="1"/>
    <col min="2" max="2" width="30.5703125" style="143" bestFit="1" customWidth="1"/>
    <col min="3" max="3" width="23.42578125" style="143" customWidth="1"/>
    <col min="4" max="4" width="9.28515625" style="143" bestFit="1" customWidth="1"/>
    <col min="5" max="5" width="15.140625" style="143" bestFit="1" customWidth="1"/>
    <col min="6" max="8" width="12.42578125" style="143" customWidth="1"/>
    <col min="9" max="14" width="9.140625" style="418"/>
    <col min="15" max="15" width="9.28515625" style="418" bestFit="1" customWidth="1"/>
    <col min="16" max="18" width="9.28515625" style="143" bestFit="1" customWidth="1"/>
    <col min="19" max="19" width="10.5703125" style="143" bestFit="1" customWidth="1"/>
    <col min="20" max="20" width="10.140625" style="143" bestFit="1" customWidth="1"/>
    <col min="21" max="21" width="9.28515625" style="143" bestFit="1" customWidth="1"/>
    <col min="22" max="16384" width="9.140625" style="143"/>
  </cols>
  <sheetData>
    <row r="1" spans="1:15" ht="28.5">
      <c r="A1" s="407" t="s">
        <v>64</v>
      </c>
      <c r="B1" s="412"/>
      <c r="C1" s="412"/>
      <c r="D1" s="412"/>
      <c r="E1" s="200"/>
      <c r="F1" s="200"/>
      <c r="G1" s="200"/>
      <c r="H1" s="200"/>
      <c r="I1" s="412"/>
      <c r="J1" s="412"/>
      <c r="K1" s="412"/>
      <c r="L1" s="412"/>
      <c r="M1" s="412"/>
      <c r="N1" s="412"/>
      <c r="O1" s="412"/>
    </row>
    <row r="2" spans="1:15">
      <c r="A2" s="18"/>
      <c r="B2" s="18"/>
      <c r="I2" s="143"/>
      <c r="J2" s="143"/>
      <c r="K2" s="143"/>
      <c r="L2" s="143"/>
      <c r="M2" s="143"/>
      <c r="N2" s="143"/>
      <c r="O2" s="143"/>
    </row>
    <row r="3" spans="1:15" ht="15.75" thickBot="1">
      <c r="A3" s="18" t="s">
        <v>422</v>
      </c>
      <c r="B3" s="18"/>
      <c r="C3" s="413"/>
      <c r="D3" s="413"/>
      <c r="E3" s="413"/>
      <c r="F3" s="96" t="s">
        <v>1</v>
      </c>
      <c r="G3" s="96" t="s">
        <v>15</v>
      </c>
      <c r="H3" s="96" t="s">
        <v>2</v>
      </c>
      <c r="I3" s="96" t="s">
        <v>43</v>
      </c>
      <c r="J3" s="96" t="s">
        <v>25</v>
      </c>
      <c r="K3" s="96" t="s">
        <v>26</v>
      </c>
      <c r="L3" s="96" t="s">
        <v>27</v>
      </c>
      <c r="M3" s="96" t="s">
        <v>39</v>
      </c>
      <c r="N3" s="96" t="s">
        <v>3</v>
      </c>
      <c r="O3" s="540" t="s">
        <v>386</v>
      </c>
    </row>
    <row r="4" spans="1:15" ht="15.75" thickTop="1">
      <c r="B4" s="942" t="s">
        <v>242</v>
      </c>
      <c r="C4" s="494" t="s">
        <v>423</v>
      </c>
      <c r="D4" s="494"/>
      <c r="E4" s="494"/>
      <c r="F4" s="444"/>
      <c r="G4" s="444">
        <f>G16</f>
        <v>1.3485944433450107E-3</v>
      </c>
      <c r="H4" s="444">
        <f>H16</f>
        <v>6.8091493531429103E-7</v>
      </c>
      <c r="I4" s="444"/>
      <c r="J4" s="444">
        <f>J16</f>
        <v>1.9931500929726365E-6</v>
      </c>
      <c r="K4" s="444">
        <f>K16</f>
        <v>4.7691370228104382E-7</v>
      </c>
      <c r="L4" s="444">
        <f>L16</f>
        <v>2.4092332809758568E-7</v>
      </c>
      <c r="M4" s="444">
        <f>M16</f>
        <v>1.4448995113966905E-6</v>
      </c>
      <c r="N4" s="444">
        <f>N16</f>
        <v>2.6704467294875237E-6</v>
      </c>
      <c r="O4" s="143"/>
    </row>
    <row r="5" spans="1:15">
      <c r="B5" s="943"/>
      <c r="C5" s="495" t="s">
        <v>424</v>
      </c>
      <c r="D5" s="495"/>
      <c r="E5" s="495"/>
      <c r="F5" s="444"/>
      <c r="G5" s="444">
        <f>G23</f>
        <v>8.7153447002848389E-4</v>
      </c>
      <c r="H5" s="444">
        <f>H23</f>
        <v>7.2834331140378046E-7</v>
      </c>
      <c r="I5" s="444"/>
      <c r="J5" s="444">
        <f>J23</f>
        <v>3.2842471875908228E-6</v>
      </c>
      <c r="K5" s="444">
        <f>K23</f>
        <v>3.148986486329502E-7</v>
      </c>
      <c r="L5" s="444">
        <f>L23</f>
        <v>1.9260840659950905E-7</v>
      </c>
      <c r="M5" s="444">
        <f>M23</f>
        <v>1.330678464845239E-6</v>
      </c>
      <c r="N5" s="444">
        <f>N23</f>
        <v>4.268711711034849E-7</v>
      </c>
      <c r="O5" s="143"/>
    </row>
    <row r="6" spans="1:15">
      <c r="B6" s="942" t="s">
        <v>458</v>
      </c>
      <c r="C6" s="496" t="s">
        <v>413</v>
      </c>
      <c r="D6" s="496"/>
      <c r="E6" s="496"/>
      <c r="F6" s="448"/>
      <c r="G6" s="448">
        <f t="shared" ref="G6:N6" si="0">G77*USD_BaseYear/USD_2000</f>
        <v>34.34454464592222</v>
      </c>
      <c r="H6" s="448">
        <f t="shared" si="0"/>
        <v>648.19557366768936</v>
      </c>
      <c r="I6" s="448">
        <f t="shared" si="0"/>
        <v>58318.513719350987</v>
      </c>
      <c r="J6" s="448">
        <f t="shared" si="0"/>
        <v>2006.0652459400221</v>
      </c>
      <c r="K6" s="448">
        <f t="shared" si="0"/>
        <v>6711.9039264392422</v>
      </c>
      <c r="L6" s="448">
        <f t="shared" si="0"/>
        <v>43844.029268215309</v>
      </c>
      <c r="M6" s="448">
        <f t="shared" si="0"/>
        <v>18015.664907902708</v>
      </c>
      <c r="N6" s="448">
        <f t="shared" si="0"/>
        <v>4136.1057288384736</v>
      </c>
      <c r="O6" s="541"/>
    </row>
    <row r="7" spans="1:15">
      <c r="B7" s="943"/>
      <c r="C7" s="495" t="s">
        <v>414</v>
      </c>
      <c r="D7" s="495"/>
      <c r="E7" s="495"/>
      <c r="F7" s="449"/>
      <c r="G7" s="449">
        <f t="shared" ref="G7:N7" si="1">G231*USD_BaseYear/USD_2000</f>
        <v>34.344544645922205</v>
      </c>
      <c r="H7" s="449">
        <f t="shared" si="1"/>
        <v>240.99701215910233</v>
      </c>
      <c r="I7" s="449">
        <f t="shared" si="1"/>
        <v>20267.735939097358</v>
      </c>
      <c r="J7" s="449">
        <f t="shared" si="1"/>
        <v>2877.0672914016395</v>
      </c>
      <c r="K7" s="449">
        <f t="shared" si="1"/>
        <v>3159.8807247615223</v>
      </c>
      <c r="L7" s="449">
        <f t="shared" si="1"/>
        <v>21867.999578728934</v>
      </c>
      <c r="M7" s="449">
        <f t="shared" si="1"/>
        <v>7488.7067026010136</v>
      </c>
      <c r="N7" s="449">
        <f t="shared" si="1"/>
        <v>2091.9711435758095</v>
      </c>
      <c r="O7" s="143"/>
    </row>
    <row r="8" spans="1:15">
      <c r="B8" s="942" t="s">
        <v>661</v>
      </c>
      <c r="C8" s="496" t="s">
        <v>428</v>
      </c>
      <c r="D8" s="496"/>
      <c r="E8" s="496"/>
      <c r="F8" s="447"/>
      <c r="G8" s="447">
        <f t="shared" ref="G8:N9" si="2">G4*G6 / Vehicle_life * P_given_A_at_social_rate</f>
        <v>2.90872905040769E-2</v>
      </c>
      <c r="H8" s="447">
        <f t="shared" si="2"/>
        <v>2.7718074709000545E-4</v>
      </c>
      <c r="I8" s="447">
        <f t="shared" si="2"/>
        <v>0</v>
      </c>
      <c r="J8" s="447">
        <f t="shared" si="2"/>
        <v>2.5110143697222305E-3</v>
      </c>
      <c r="K8" s="447">
        <f t="shared" si="2"/>
        <v>2.0102481521811996E-3</v>
      </c>
      <c r="L8" s="447">
        <f t="shared" si="2"/>
        <v>6.6336637283818233E-3</v>
      </c>
      <c r="M8" s="447">
        <f t="shared" si="2"/>
        <v>1.6347527602670494E-2</v>
      </c>
      <c r="N8" s="447">
        <f t="shared" si="2"/>
        <v>6.9364888199973558E-3</v>
      </c>
      <c r="O8" s="539">
        <f>SUM(F8:N8)</f>
        <v>6.3803413924120006E-2</v>
      </c>
    </row>
    <row r="9" spans="1:15">
      <c r="B9" s="945"/>
      <c r="C9" s="494" t="s">
        <v>429</v>
      </c>
      <c r="D9" s="494"/>
      <c r="E9" s="494"/>
      <c r="F9" s="447"/>
      <c r="G9" s="447">
        <f t="shared" si="2"/>
        <v>1.8797776039441803E-2</v>
      </c>
      <c r="H9" s="447">
        <f t="shared" si="2"/>
        <v>1.1023307804033141E-4</v>
      </c>
      <c r="I9" s="447">
        <f t="shared" si="2"/>
        <v>0</v>
      </c>
      <c r="J9" s="447">
        <f t="shared" si="2"/>
        <v>5.9340335324936542E-3</v>
      </c>
      <c r="K9" s="447">
        <f t="shared" si="2"/>
        <v>6.2489295198068888E-4</v>
      </c>
      <c r="L9" s="447">
        <f t="shared" si="2"/>
        <v>2.6451386118334663E-3</v>
      </c>
      <c r="M9" s="447">
        <f t="shared" si="2"/>
        <v>6.2581229308492151E-3</v>
      </c>
      <c r="N9" s="447">
        <f t="shared" si="2"/>
        <v>5.6081116977261375E-4</v>
      </c>
      <c r="O9" s="539">
        <f t="shared" ref="O9:O10" si="3">SUM(F9:N9)</f>
        <v>3.4931008314411781E-2</v>
      </c>
    </row>
    <row r="10" spans="1:15">
      <c r="A10" s="18"/>
      <c r="B10" s="943"/>
      <c r="C10" s="944" t="s">
        <v>471</v>
      </c>
      <c r="D10" s="944"/>
      <c r="E10" s="944"/>
      <c r="F10" s="447"/>
      <c r="G10" s="447">
        <f t="shared" ref="G10:N10" si="4">SUM(G8:G9)</f>
        <v>4.7885066543518706E-2</v>
      </c>
      <c r="H10" s="447">
        <f t="shared" si="4"/>
        <v>3.8741382513033686E-4</v>
      </c>
      <c r="I10" s="447">
        <f t="shared" si="4"/>
        <v>0</v>
      </c>
      <c r="J10" s="447">
        <f t="shared" si="4"/>
        <v>8.4450479022158843E-3</v>
      </c>
      <c r="K10" s="447">
        <f t="shared" si="4"/>
        <v>2.6351411041618884E-3</v>
      </c>
      <c r="L10" s="447">
        <f t="shared" si="4"/>
        <v>9.2788023402152892E-3</v>
      </c>
      <c r="M10" s="447">
        <f t="shared" si="4"/>
        <v>2.2605650533519709E-2</v>
      </c>
      <c r="N10" s="447">
        <f t="shared" si="4"/>
        <v>7.4972999897699698E-3</v>
      </c>
      <c r="O10" s="539">
        <f t="shared" si="3"/>
        <v>9.873442223853178E-2</v>
      </c>
    </row>
    <row r="11" spans="1:15">
      <c r="A11" s="18"/>
      <c r="B11" s="18"/>
      <c r="I11" s="143"/>
      <c r="J11" s="143"/>
      <c r="K11" s="143"/>
      <c r="L11" s="143"/>
      <c r="M11" s="143"/>
      <c r="N11" s="143"/>
      <c r="O11" s="143"/>
    </row>
    <row r="12" spans="1:15" ht="15.75" thickBot="1">
      <c r="A12" s="38" t="s">
        <v>401</v>
      </c>
      <c r="B12" s="413"/>
      <c r="C12" s="413"/>
      <c r="D12" s="413"/>
      <c r="E12" s="96"/>
      <c r="F12" s="96" t="s">
        <v>32</v>
      </c>
      <c r="G12" s="96" t="s">
        <v>15</v>
      </c>
      <c r="H12" s="96" t="s">
        <v>2</v>
      </c>
      <c r="I12" s="96" t="s">
        <v>43</v>
      </c>
      <c r="J12" s="96" t="s">
        <v>25</v>
      </c>
      <c r="K12" s="96" t="s">
        <v>26</v>
      </c>
      <c r="L12" s="96" t="s">
        <v>27</v>
      </c>
      <c r="M12" s="96" t="s">
        <v>39</v>
      </c>
      <c r="N12" s="96" t="s">
        <v>3</v>
      </c>
      <c r="O12" s="414" t="s">
        <v>100</v>
      </c>
    </row>
    <row r="13" spans="1:15" ht="15.75" thickTop="1">
      <c r="B13" s="506"/>
      <c r="D13" s="497" t="s">
        <v>248</v>
      </c>
      <c r="E13" s="497"/>
      <c r="F13" s="406"/>
      <c r="G13" s="408">
        <v>1.3453963441289482E-3</v>
      </c>
      <c r="H13" s="408">
        <v>6.8054148355774527E-7</v>
      </c>
      <c r="I13" s="408"/>
      <c r="J13" s="408">
        <v>1.9934929928776524E-6</v>
      </c>
      <c r="K13" s="408">
        <v>4.765969849293721E-7</v>
      </c>
      <c r="L13" s="408">
        <v>2.4082071482555648E-7</v>
      </c>
      <c r="M13" s="408">
        <v>1.4457269727803897E-6</v>
      </c>
      <c r="N13" s="408">
        <v>2.670235766419996E-6</v>
      </c>
      <c r="O13" s="159" t="s">
        <v>404</v>
      </c>
    </row>
    <row r="14" spans="1:15">
      <c r="B14" s="507"/>
      <c r="D14" s="498" t="s">
        <v>247</v>
      </c>
      <c r="E14" s="498"/>
      <c r="F14" s="456"/>
      <c r="G14" s="457">
        <v>1.3485944433450107E-3</v>
      </c>
      <c r="H14" s="457">
        <v>6.8091493531429103E-7</v>
      </c>
      <c r="I14" s="457"/>
      <c r="J14" s="457">
        <v>1.9931500929726365E-6</v>
      </c>
      <c r="K14" s="457">
        <v>4.7691370228104382E-7</v>
      </c>
      <c r="L14" s="457">
        <v>2.4092332809758568E-7</v>
      </c>
      <c r="M14" s="457">
        <v>1.4448995113966905E-6</v>
      </c>
      <c r="N14" s="457">
        <v>2.6704467294875237E-6</v>
      </c>
      <c r="O14" s="458" t="s">
        <v>404</v>
      </c>
    </row>
    <row r="15" spans="1:15">
      <c r="B15" s="507"/>
      <c r="D15" s="499" t="s">
        <v>249</v>
      </c>
      <c r="E15" s="499"/>
      <c r="F15" s="406"/>
      <c r="G15" s="408">
        <v>1.3793355069529913E-3</v>
      </c>
      <c r="H15" s="408">
        <v>6.8450455137347542E-7</v>
      </c>
      <c r="I15" s="408"/>
      <c r="J15" s="408">
        <v>1.9898554102951381E-6</v>
      </c>
      <c r="K15" s="408">
        <v>4.7995774543697211E-7</v>
      </c>
      <c r="L15" s="408">
        <v>2.4190957752751844E-7</v>
      </c>
      <c r="M15" s="408">
        <v>1.4369469704812162E-6</v>
      </c>
      <c r="N15" s="408">
        <v>2.672474305060682E-6</v>
      </c>
      <c r="O15" s="159" t="s">
        <v>404</v>
      </c>
    </row>
    <row r="16" spans="1:15">
      <c r="B16" s="505"/>
      <c r="D16" s="500" t="str">
        <f>SUMMARY!B12</f>
        <v>9.4% Oil Sands GREET</v>
      </c>
      <c r="E16" s="500"/>
      <c r="F16" s="415">
        <f t="array" ref="F16">SUM(IF($D16=$D13:$D15,F13:F15))</f>
        <v>0</v>
      </c>
      <c r="G16" s="415">
        <f t="array" ref="G16">SUM(IF($D16=$D13:$D15,G13:G15))</f>
        <v>1.3485944433450107E-3</v>
      </c>
      <c r="H16" s="415">
        <f t="array" ref="H16">SUM(IF($D16=$D13:$D15,H13:H15))</f>
        <v>6.8091493531429103E-7</v>
      </c>
      <c r="I16" s="415">
        <f t="array" ref="I16">SUM(IF($D16=$D13:$D15,I13:I15))</f>
        <v>0</v>
      </c>
      <c r="J16" s="415">
        <f t="array" ref="J16">SUM(IF($D16=$D13:$D15,J13:J15))</f>
        <v>1.9931500929726365E-6</v>
      </c>
      <c r="K16" s="415">
        <f t="array" ref="K16">SUM(IF($D16=$D13:$D15,K13:K15))</f>
        <v>4.7691370228104382E-7</v>
      </c>
      <c r="L16" s="415">
        <f t="array" ref="L16">SUM(IF($D16=$D13:$D15,L13:L15))</f>
        <v>2.4092332809758568E-7</v>
      </c>
      <c r="M16" s="415">
        <f t="array" ref="M16">SUM(IF($D16=$D13:$D15,M13:M15))</f>
        <v>1.4448995113966905E-6</v>
      </c>
      <c r="N16" s="415">
        <f t="array" ref="N16">SUM(IF($D16=$D13:$D15,N13:N15))</f>
        <v>2.6704467294875237E-6</v>
      </c>
      <c r="O16" s="416"/>
    </row>
    <row r="17" spans="1:15">
      <c r="I17" s="143"/>
      <c r="J17" s="143"/>
      <c r="K17" s="143"/>
      <c r="L17" s="143"/>
      <c r="M17" s="143"/>
      <c r="N17" s="143"/>
      <c r="O17" s="170"/>
    </row>
    <row r="18" spans="1:15">
      <c r="A18" s="18"/>
      <c r="B18" s="18"/>
      <c r="I18" s="143"/>
      <c r="J18" s="143"/>
      <c r="K18" s="143"/>
      <c r="L18" s="143"/>
      <c r="M18" s="143"/>
      <c r="N18" s="143"/>
      <c r="O18" s="170"/>
    </row>
    <row r="19" spans="1:15" ht="15.75" thickBot="1">
      <c r="A19" s="38" t="s">
        <v>402</v>
      </c>
      <c r="B19" s="413"/>
      <c r="C19" s="413"/>
      <c r="D19" s="413"/>
      <c r="E19" s="96"/>
      <c r="F19" s="96" t="s">
        <v>32</v>
      </c>
      <c r="G19" s="96" t="s">
        <v>15</v>
      </c>
      <c r="H19" s="96" t="s">
        <v>2</v>
      </c>
      <c r="I19" s="96" t="s">
        <v>43</v>
      </c>
      <c r="J19" s="96" t="s">
        <v>25</v>
      </c>
      <c r="K19" s="96" t="s">
        <v>26</v>
      </c>
      <c r="L19" s="96" t="s">
        <v>27</v>
      </c>
      <c r="M19" s="96" t="s">
        <v>39</v>
      </c>
      <c r="N19" s="96" t="s">
        <v>3</v>
      </c>
      <c r="O19" s="414" t="s">
        <v>100</v>
      </c>
    </row>
    <row r="20" spans="1:15" ht="15.75" thickTop="1">
      <c r="B20" s="503"/>
      <c r="C20" s="503"/>
      <c r="D20" s="501" t="str">
        <f>D13</f>
        <v>0% Oil Sands GREET</v>
      </c>
      <c r="E20" s="501"/>
      <c r="F20" s="406"/>
      <c r="G20" s="408">
        <v>7.2947486693439756E-4</v>
      </c>
      <c r="H20" s="408">
        <v>7.1178129430009035E-7</v>
      </c>
      <c r="I20" s="408"/>
      <c r="J20" s="408">
        <v>3.2995339213043923E-6</v>
      </c>
      <c r="K20" s="408">
        <v>3.008375209870045E-7</v>
      </c>
      <c r="L20" s="408">
        <v>1.880533511869052E-7</v>
      </c>
      <c r="M20" s="408">
        <v>1.3674847844949376E-6</v>
      </c>
      <c r="N20" s="408">
        <v>4.1749097618808431E-7</v>
      </c>
      <c r="O20" s="159" t="s">
        <v>404</v>
      </c>
    </row>
    <row r="21" spans="1:15">
      <c r="B21" s="504"/>
      <c r="C21" s="504"/>
      <c r="D21" s="502" t="str">
        <f>D14</f>
        <v>9.4% Oil Sands GREET</v>
      </c>
      <c r="E21" s="502"/>
      <c r="F21" s="456"/>
      <c r="G21" s="457">
        <v>8.7153447002848389E-4</v>
      </c>
      <c r="H21" s="457">
        <v>7.2834331140378046E-7</v>
      </c>
      <c r="I21" s="457"/>
      <c r="J21" s="457">
        <v>3.2842471875908228E-6</v>
      </c>
      <c r="K21" s="457">
        <v>3.148986486329502E-7</v>
      </c>
      <c r="L21" s="457">
        <v>1.9260840659950905E-7</v>
      </c>
      <c r="M21" s="457">
        <v>1.330678464845239E-6</v>
      </c>
      <c r="N21" s="457">
        <v>4.268711711034849E-7</v>
      </c>
      <c r="O21" s="458" t="s">
        <v>404</v>
      </c>
    </row>
    <row r="22" spans="1:15">
      <c r="B22" s="504"/>
      <c r="C22" s="504"/>
      <c r="D22" s="492" t="str">
        <f>D15</f>
        <v>100% Oil Sands GREET</v>
      </c>
      <c r="E22" s="492"/>
      <c r="F22" s="406"/>
      <c r="G22" s="408">
        <v>2.2370529481361896E-3</v>
      </c>
      <c r="H22" s="408">
        <v>8.8753651662427226E-7</v>
      </c>
      <c r="I22" s="408"/>
      <c r="J22" s="408">
        <v>3.1373658503510353E-6</v>
      </c>
      <c r="K22" s="408">
        <v>4.5004315483313465E-7</v>
      </c>
      <c r="L22" s="408">
        <v>2.3638843127501644E-7</v>
      </c>
      <c r="M22" s="408">
        <v>9.7694177240329825E-7</v>
      </c>
      <c r="N22" s="408">
        <v>5.1702443737740422E-7</v>
      </c>
      <c r="O22" s="159" t="s">
        <v>404</v>
      </c>
    </row>
    <row r="23" spans="1:15">
      <c r="B23" s="505"/>
      <c r="C23" s="505"/>
      <c r="D23" s="500" t="str">
        <f>D16</f>
        <v>9.4% Oil Sands GREET</v>
      </c>
      <c r="E23" s="500"/>
      <c r="F23" s="415">
        <f t="array" ref="F23">SUM(IF($D23=$D20:$D22,F20:F22))</f>
        <v>0</v>
      </c>
      <c r="G23" s="415">
        <f t="array" ref="G23">SUM(IF($D23=$D20:$D22,G20:G22))</f>
        <v>8.7153447002848389E-4</v>
      </c>
      <c r="H23" s="415">
        <f t="array" ref="H23">SUM(IF($D23=$D20:$D22,H20:H22))</f>
        <v>7.2834331140378046E-7</v>
      </c>
      <c r="I23" s="415">
        <f t="array" ref="I23">SUM(IF($D23=$D20:$D22,I20:I22))</f>
        <v>0</v>
      </c>
      <c r="J23" s="415">
        <f t="array" ref="J23">SUM(IF($D23=$D20:$D22,J20:J22))</f>
        <v>3.2842471875908228E-6</v>
      </c>
      <c r="K23" s="415">
        <f t="array" ref="K23">SUM(IF($D23=$D20:$D22,K20:K22))</f>
        <v>3.148986486329502E-7</v>
      </c>
      <c r="L23" s="415">
        <f t="array" ref="L23">SUM(IF($D23=$D20:$D22,L20:L22))</f>
        <v>1.9260840659950905E-7</v>
      </c>
      <c r="M23" s="415">
        <f t="array" ref="M23">SUM(IF($D23=$D20:$D22,M20:M22))</f>
        <v>1.330678464845239E-6</v>
      </c>
      <c r="N23" s="415">
        <f t="array" ref="N23">SUM(IF($D23=$D20:$D22,N20:N22))</f>
        <v>4.268711711034849E-7</v>
      </c>
      <c r="O23" s="416"/>
    </row>
    <row r="26" spans="1:15" ht="15.75" thickBot="1">
      <c r="A26" s="38" t="s">
        <v>427</v>
      </c>
      <c r="B26" s="413"/>
      <c r="C26" s="413"/>
      <c r="D26" s="413"/>
      <c r="E26" s="413"/>
      <c r="F26" s="413"/>
      <c r="G26" s="413"/>
      <c r="H26" s="413"/>
      <c r="I26" s="508"/>
      <c r="J26" s="508"/>
      <c r="K26" s="508"/>
      <c r="L26" s="508"/>
      <c r="M26" s="508"/>
      <c r="N26" s="508"/>
      <c r="O26" s="508"/>
    </row>
    <row r="27" spans="1:15" ht="15.75" thickTop="1">
      <c r="A27" s="419"/>
      <c r="B27" s="936" t="s">
        <v>12</v>
      </c>
      <c r="C27" s="937"/>
      <c r="D27" s="937"/>
      <c r="E27" s="941"/>
      <c r="F27" s="936" t="s">
        <v>408</v>
      </c>
      <c r="G27" s="937"/>
      <c r="H27" s="937"/>
      <c r="I27" s="937"/>
      <c r="J27" s="937"/>
      <c r="K27" s="937"/>
      <c r="L27" s="937"/>
      <c r="M27" s="937"/>
      <c r="N27" s="937"/>
      <c r="O27" s="420"/>
    </row>
    <row r="28" spans="1:15">
      <c r="A28" s="411" t="s">
        <v>409</v>
      </c>
      <c r="B28" s="421" t="s">
        <v>242</v>
      </c>
      <c r="C28" s="262" t="s">
        <v>405</v>
      </c>
      <c r="D28" s="262" t="s">
        <v>54</v>
      </c>
      <c r="E28" s="422" t="s">
        <v>406</v>
      </c>
      <c r="F28" s="262" t="s">
        <v>32</v>
      </c>
      <c r="G28" s="423" t="s">
        <v>15</v>
      </c>
      <c r="H28" s="423" t="s">
        <v>2</v>
      </c>
      <c r="I28" s="423" t="s">
        <v>43</v>
      </c>
      <c r="J28" s="423" t="s">
        <v>95</v>
      </c>
      <c r="K28" s="423" t="s">
        <v>26</v>
      </c>
      <c r="L28" s="423" t="s">
        <v>27</v>
      </c>
      <c r="M28" s="423" t="s">
        <v>39</v>
      </c>
      <c r="N28" s="423" t="s">
        <v>3</v>
      </c>
    </row>
    <row r="29" spans="1:15">
      <c r="A29" s="409" t="b">
        <f>AND(IF(C29=SUMMARY!$B$12,TRUE,FALSE),IF(D29=SUMMARY!$B$28,TRUE,FALSE),IF(E29=SUMMARY!$B$9,TRUE,FALSE))</f>
        <v>0</v>
      </c>
      <c r="B29" s="149" t="s">
        <v>407</v>
      </c>
      <c r="C29" s="424" t="str">
        <f t="shared" ref="C29:C44" si="5">$D$13</f>
        <v>0% Oil Sands GREET</v>
      </c>
      <c r="D29" s="425" t="str">
        <f>Valuation!$B$8</f>
        <v>Zero</v>
      </c>
      <c r="E29" s="426" t="s">
        <v>51</v>
      </c>
      <c r="F29" s="424"/>
      <c r="G29" s="427">
        <v>0</v>
      </c>
      <c r="H29" s="795">
        <v>35.707921166958712</v>
      </c>
      <c r="I29" s="795">
        <v>759.46966379216417</v>
      </c>
      <c r="J29" s="795">
        <v>753.8418343906859</v>
      </c>
      <c r="K29" s="795">
        <v>437.66758355850732</v>
      </c>
      <c r="L29" s="795">
        <v>2224.1774875738147</v>
      </c>
      <c r="M29" s="795">
        <v>1389.5605761316194</v>
      </c>
      <c r="N29" s="795">
        <v>216.62380112928355</v>
      </c>
    </row>
    <row r="30" spans="1:15">
      <c r="A30" s="409" t="b">
        <f>AND(IF(C30=SUMMARY!$B$12,TRUE,FALSE),IF(D30=SUMMARY!$B$28,TRUE,FALSE),IF(E30=SUMMARY!$B$9,TRUE,FALSE))</f>
        <v>0</v>
      </c>
      <c r="B30" s="149" t="s">
        <v>407</v>
      </c>
      <c r="C30" s="424" t="str">
        <f t="shared" si="5"/>
        <v>0% Oil Sands GREET</v>
      </c>
      <c r="D30" s="425" t="str">
        <f>Valuation!$B$8</f>
        <v>Zero</v>
      </c>
      <c r="E30" s="426" t="s">
        <v>96</v>
      </c>
      <c r="F30" s="424"/>
      <c r="G30" s="427">
        <v>0</v>
      </c>
      <c r="H30" s="795">
        <v>103.38211018360229</v>
      </c>
      <c r="I30" s="795">
        <v>1489.1515537475525</v>
      </c>
      <c r="J30" s="795">
        <v>2376.9948618235626</v>
      </c>
      <c r="K30" s="795">
        <v>1159.1647473311421</v>
      </c>
      <c r="L30" s="795">
        <v>9032.4148084809203</v>
      </c>
      <c r="M30" s="795">
        <v>2606.3795444501061</v>
      </c>
      <c r="N30" s="795">
        <v>866.7919618823471</v>
      </c>
    </row>
    <row r="31" spans="1:15">
      <c r="A31" s="409" t="b">
        <f>AND(IF(C31=SUMMARY!$B$12,TRUE,FALSE),IF(D31=SUMMARY!$B$28,TRUE,FALSE),IF(E31=SUMMARY!$B$9,TRUE,FALSE))</f>
        <v>0</v>
      </c>
      <c r="B31" s="149" t="s">
        <v>407</v>
      </c>
      <c r="C31" s="424" t="str">
        <f t="shared" si="5"/>
        <v>0% Oil Sands GREET</v>
      </c>
      <c r="D31" s="425" t="str">
        <f>Valuation!$B$8</f>
        <v>Zero</v>
      </c>
      <c r="E31" s="426" t="s">
        <v>50</v>
      </c>
      <c r="F31" s="424"/>
      <c r="G31" s="427">
        <v>0</v>
      </c>
      <c r="H31" s="795">
        <v>3033.5681543234641</v>
      </c>
      <c r="I31" s="795">
        <v>228245.4400290967</v>
      </c>
      <c r="J31" s="795">
        <v>528.68513287775295</v>
      </c>
      <c r="K31" s="795">
        <v>31362.72514395574</v>
      </c>
      <c r="L31" s="795">
        <v>186841.95483760393</v>
      </c>
      <c r="M31" s="795">
        <v>114729.07210305227</v>
      </c>
      <c r="N31" s="795">
        <v>17322.46077525958</v>
      </c>
    </row>
    <row r="32" spans="1:15">
      <c r="A32" s="409" t="b">
        <f>AND(IF(C32=SUMMARY!$B$12,TRUE,FALSE),IF(D32=SUMMARY!$B$28,TRUE,FALSE),IF(E32=SUMMARY!$B$9,TRUE,FALSE))</f>
        <v>0</v>
      </c>
      <c r="B32" s="149" t="s">
        <v>407</v>
      </c>
      <c r="C32" s="424" t="str">
        <f t="shared" si="5"/>
        <v>0% Oil Sands GREET</v>
      </c>
      <c r="D32" s="425" t="str">
        <f>Valuation!$B$8</f>
        <v>Zero</v>
      </c>
      <c r="E32" s="235" t="s">
        <v>410</v>
      </c>
      <c r="F32" s="428"/>
      <c r="G32" s="427">
        <v>0</v>
      </c>
      <c r="H32" s="795">
        <v>513.64763125180423</v>
      </c>
      <c r="I32" s="795">
        <v>46213.161038072139</v>
      </c>
      <c r="J32" s="795">
        <v>1589.6601327949231</v>
      </c>
      <c r="K32" s="795">
        <v>5318.6934515733974</v>
      </c>
      <c r="L32" s="795">
        <v>34743.189699254413</v>
      </c>
      <c r="M32" s="795">
        <v>14276.098111886489</v>
      </c>
      <c r="N32" s="795">
        <v>3277.5615825387722</v>
      </c>
    </row>
    <row r="33" spans="1:21">
      <c r="A33" s="409" t="b">
        <f>AND(IF(C33=SUMMARY!$B$12,TRUE,FALSE),IF(D33=SUMMARY!$B$28,TRUE,FALSE),IF(E33=SUMMARY!$B$9,TRUE,FALSE))</f>
        <v>0</v>
      </c>
      <c r="B33" s="149" t="s">
        <v>407</v>
      </c>
      <c r="C33" s="424" t="str">
        <f t="shared" si="5"/>
        <v>0% Oil Sands GREET</v>
      </c>
      <c r="D33" s="425" t="str">
        <f>Valuation!$B$5</f>
        <v>Low</v>
      </c>
      <c r="E33" s="426" t="s">
        <v>51</v>
      </c>
      <c r="F33" s="424"/>
      <c r="G33" s="429">
        <v>9.0718474076075672</v>
      </c>
      <c r="H33" s="796">
        <f>H29</f>
        <v>35.707921166958712</v>
      </c>
      <c r="I33" s="796">
        <f t="shared" ref="I33:N33" si="6">I29</f>
        <v>759.46966379216417</v>
      </c>
      <c r="J33" s="796">
        <f t="shared" si="6"/>
        <v>753.8418343906859</v>
      </c>
      <c r="K33" s="796">
        <f t="shared" si="6"/>
        <v>437.66758355850732</v>
      </c>
      <c r="L33" s="796">
        <f t="shared" si="6"/>
        <v>2224.1774875738147</v>
      </c>
      <c r="M33" s="796">
        <f t="shared" si="6"/>
        <v>1389.5605761316194</v>
      </c>
      <c r="N33" s="796">
        <f t="shared" si="6"/>
        <v>216.62380112928355</v>
      </c>
    </row>
    <row r="34" spans="1:21">
      <c r="A34" s="409" t="b">
        <f>AND(IF(C34=SUMMARY!$B$12,TRUE,FALSE),IF(D34=SUMMARY!$B$28,TRUE,FALSE),IF(E34=SUMMARY!$B$9,TRUE,FALSE))</f>
        <v>0</v>
      </c>
      <c r="B34" s="149" t="s">
        <v>407</v>
      </c>
      <c r="C34" s="424" t="str">
        <f t="shared" si="5"/>
        <v>0% Oil Sands GREET</v>
      </c>
      <c r="D34" s="425" t="str">
        <f>Valuation!$B$5</f>
        <v>Low</v>
      </c>
      <c r="E34" s="426" t="s">
        <v>96</v>
      </c>
      <c r="F34" s="424"/>
      <c r="G34" s="429">
        <v>9.0718474076075672</v>
      </c>
      <c r="H34" s="796">
        <f t="shared" ref="H34:N36" si="7">H30</f>
        <v>103.38211018360229</v>
      </c>
      <c r="I34" s="796">
        <f t="shared" si="7"/>
        <v>1489.1515537475525</v>
      </c>
      <c r="J34" s="796">
        <f t="shared" si="7"/>
        <v>2376.9948618235626</v>
      </c>
      <c r="K34" s="796">
        <f t="shared" si="7"/>
        <v>1159.1647473311421</v>
      </c>
      <c r="L34" s="796">
        <f t="shared" si="7"/>
        <v>9032.4148084809203</v>
      </c>
      <c r="M34" s="796">
        <f t="shared" si="7"/>
        <v>2606.3795444501061</v>
      </c>
      <c r="N34" s="796">
        <f t="shared" si="7"/>
        <v>866.7919618823471</v>
      </c>
    </row>
    <row r="35" spans="1:21">
      <c r="A35" s="409" t="b">
        <f>AND(IF(C35=SUMMARY!$B$12,TRUE,FALSE),IF(D35=SUMMARY!$B$28,TRUE,FALSE),IF(E35=SUMMARY!$B$9,TRUE,FALSE))</f>
        <v>0</v>
      </c>
      <c r="B35" s="149" t="s">
        <v>407</v>
      </c>
      <c r="C35" s="424" t="str">
        <f t="shared" si="5"/>
        <v>0% Oil Sands GREET</v>
      </c>
      <c r="D35" s="425" t="str">
        <f>Valuation!$B$5</f>
        <v>Low</v>
      </c>
      <c r="E35" s="426" t="s">
        <v>50</v>
      </c>
      <c r="F35" s="424"/>
      <c r="G35" s="429">
        <v>9.0718474076075672</v>
      </c>
      <c r="H35" s="796">
        <f t="shared" si="7"/>
        <v>3033.5681543234641</v>
      </c>
      <c r="I35" s="796">
        <f t="shared" si="7"/>
        <v>228245.4400290967</v>
      </c>
      <c r="J35" s="796">
        <f t="shared" si="7"/>
        <v>528.68513287775295</v>
      </c>
      <c r="K35" s="796">
        <f t="shared" si="7"/>
        <v>31362.72514395574</v>
      </c>
      <c r="L35" s="796">
        <f t="shared" si="7"/>
        <v>186841.95483760393</v>
      </c>
      <c r="M35" s="796">
        <f t="shared" si="7"/>
        <v>114729.07210305227</v>
      </c>
      <c r="N35" s="796">
        <f t="shared" si="7"/>
        <v>17322.46077525958</v>
      </c>
    </row>
    <row r="36" spans="1:21">
      <c r="A36" s="409" t="b">
        <f>AND(IF(C36=SUMMARY!$B$12,TRUE,FALSE),IF(D36=SUMMARY!$B$28,TRUE,FALSE),IF(E36=SUMMARY!$B$9,TRUE,FALSE))</f>
        <v>0</v>
      </c>
      <c r="B36" s="149" t="s">
        <v>407</v>
      </c>
      <c r="C36" s="424" t="str">
        <f t="shared" si="5"/>
        <v>0% Oil Sands GREET</v>
      </c>
      <c r="D36" s="425" t="str">
        <f>Valuation!$B$5</f>
        <v>Low</v>
      </c>
      <c r="E36" s="235" t="s">
        <v>410</v>
      </c>
      <c r="F36" s="428"/>
      <c r="G36" s="429">
        <v>9.0718474076075655</v>
      </c>
      <c r="H36" s="796">
        <f t="shared" si="7"/>
        <v>513.64763125180423</v>
      </c>
      <c r="I36" s="796">
        <f t="shared" si="7"/>
        <v>46213.161038072139</v>
      </c>
      <c r="J36" s="796">
        <f t="shared" si="7"/>
        <v>1589.6601327949231</v>
      </c>
      <c r="K36" s="796">
        <f t="shared" si="7"/>
        <v>5318.6934515733974</v>
      </c>
      <c r="L36" s="796">
        <f t="shared" si="7"/>
        <v>34743.189699254413</v>
      </c>
      <c r="M36" s="796">
        <f t="shared" si="7"/>
        <v>14276.098111886489</v>
      </c>
      <c r="N36" s="796">
        <f t="shared" si="7"/>
        <v>3277.5615825387722</v>
      </c>
    </row>
    <row r="37" spans="1:21">
      <c r="A37" s="409" t="b">
        <f>AND(IF(C37=SUMMARY!$B$12,TRUE,FALSE),IF(D37=SUMMARY!$B$28,TRUE,FALSE),IF(E37=SUMMARY!$B$9,TRUE,FALSE))</f>
        <v>0</v>
      </c>
      <c r="B37" s="149" t="s">
        <v>407</v>
      </c>
      <c r="C37" s="424" t="str">
        <f t="shared" si="5"/>
        <v>0% Oil Sands GREET</v>
      </c>
      <c r="D37" s="425" t="str">
        <f>Valuation!$B$6</f>
        <v>Medium</v>
      </c>
      <c r="E37" s="426" t="s">
        <v>51</v>
      </c>
      <c r="F37" s="424"/>
      <c r="G37" s="429">
        <v>27.215542222822698</v>
      </c>
      <c r="H37" s="796">
        <f>H29</f>
        <v>35.707921166958712</v>
      </c>
      <c r="I37" s="796">
        <f t="shared" ref="I37:N37" si="8">I29</f>
        <v>759.46966379216417</v>
      </c>
      <c r="J37" s="796">
        <f t="shared" si="8"/>
        <v>753.8418343906859</v>
      </c>
      <c r="K37" s="796">
        <f t="shared" si="8"/>
        <v>437.66758355850732</v>
      </c>
      <c r="L37" s="796">
        <f t="shared" si="8"/>
        <v>2224.1774875738147</v>
      </c>
      <c r="M37" s="796">
        <f t="shared" si="8"/>
        <v>1389.5605761316194</v>
      </c>
      <c r="N37" s="796">
        <f t="shared" si="8"/>
        <v>216.62380112928355</v>
      </c>
    </row>
    <row r="38" spans="1:21">
      <c r="A38" s="409" t="b">
        <f>AND(IF(C38=SUMMARY!$B$12,TRUE,FALSE),IF(D38=SUMMARY!$B$28,TRUE,FALSE),IF(E38=SUMMARY!$B$9,TRUE,FALSE))</f>
        <v>0</v>
      </c>
      <c r="B38" s="149" t="s">
        <v>407</v>
      </c>
      <c r="C38" s="424" t="str">
        <f t="shared" si="5"/>
        <v>0% Oil Sands GREET</v>
      </c>
      <c r="D38" s="425" t="str">
        <f>Valuation!$B$6</f>
        <v>Medium</v>
      </c>
      <c r="E38" s="426" t="s">
        <v>96</v>
      </c>
      <c r="F38" s="424"/>
      <c r="G38" s="429">
        <v>27.215542222822698</v>
      </c>
      <c r="H38" s="796">
        <f t="shared" ref="H38:N40" si="9">H30</f>
        <v>103.38211018360229</v>
      </c>
      <c r="I38" s="796">
        <f t="shared" si="9"/>
        <v>1489.1515537475525</v>
      </c>
      <c r="J38" s="796">
        <f t="shared" si="9"/>
        <v>2376.9948618235626</v>
      </c>
      <c r="K38" s="796">
        <f t="shared" si="9"/>
        <v>1159.1647473311421</v>
      </c>
      <c r="L38" s="796">
        <f t="shared" si="9"/>
        <v>9032.4148084809203</v>
      </c>
      <c r="M38" s="796">
        <f t="shared" si="9"/>
        <v>2606.3795444501061</v>
      </c>
      <c r="N38" s="796">
        <f t="shared" si="9"/>
        <v>866.7919618823471</v>
      </c>
    </row>
    <row r="39" spans="1:21">
      <c r="A39" s="409" t="b">
        <f>AND(IF(C39=SUMMARY!$B$12,TRUE,FALSE),IF(D39=SUMMARY!$B$28,TRUE,FALSE),IF(E39=SUMMARY!$B$9,TRUE,FALSE))</f>
        <v>0</v>
      </c>
      <c r="B39" s="149" t="s">
        <v>407</v>
      </c>
      <c r="C39" s="424" t="str">
        <f t="shared" si="5"/>
        <v>0% Oil Sands GREET</v>
      </c>
      <c r="D39" s="425" t="str">
        <f>Valuation!$B$6</f>
        <v>Medium</v>
      </c>
      <c r="E39" s="426" t="s">
        <v>50</v>
      </c>
      <c r="F39" s="424"/>
      <c r="G39" s="429">
        <v>27.215542222822698</v>
      </c>
      <c r="H39" s="796">
        <f t="shared" si="9"/>
        <v>3033.5681543234641</v>
      </c>
      <c r="I39" s="796">
        <f t="shared" si="9"/>
        <v>228245.4400290967</v>
      </c>
      <c r="J39" s="796">
        <f t="shared" si="9"/>
        <v>528.68513287775295</v>
      </c>
      <c r="K39" s="796">
        <f t="shared" si="9"/>
        <v>31362.72514395574</v>
      </c>
      <c r="L39" s="796">
        <f t="shared" si="9"/>
        <v>186841.95483760393</v>
      </c>
      <c r="M39" s="796">
        <f t="shared" si="9"/>
        <v>114729.07210305227</v>
      </c>
      <c r="N39" s="796">
        <f t="shared" si="9"/>
        <v>17322.46077525958</v>
      </c>
    </row>
    <row r="40" spans="1:21">
      <c r="A40" s="409" t="b">
        <f>AND(IF(C40=SUMMARY!$B$12,TRUE,FALSE),IF(D40=SUMMARY!$B$28,TRUE,FALSE),IF(E40=SUMMARY!$B$9,TRUE,FALSE))</f>
        <v>0</v>
      </c>
      <c r="B40" s="149" t="s">
        <v>407</v>
      </c>
      <c r="C40" s="424" t="str">
        <f t="shared" si="5"/>
        <v>0% Oil Sands GREET</v>
      </c>
      <c r="D40" s="425" t="str">
        <f>Valuation!$B$6</f>
        <v>Medium</v>
      </c>
      <c r="E40" s="235" t="s">
        <v>410</v>
      </c>
      <c r="F40" s="428"/>
      <c r="G40" s="429">
        <v>27.215542222822702</v>
      </c>
      <c r="H40" s="796">
        <f t="shared" si="9"/>
        <v>513.64763125180423</v>
      </c>
      <c r="I40" s="796">
        <f t="shared" si="9"/>
        <v>46213.161038072139</v>
      </c>
      <c r="J40" s="796">
        <f t="shared" si="9"/>
        <v>1589.6601327949231</v>
      </c>
      <c r="K40" s="796">
        <f t="shared" si="9"/>
        <v>5318.6934515733974</v>
      </c>
      <c r="L40" s="796">
        <f t="shared" si="9"/>
        <v>34743.189699254413</v>
      </c>
      <c r="M40" s="796">
        <f t="shared" si="9"/>
        <v>14276.098111886489</v>
      </c>
      <c r="N40" s="796">
        <f t="shared" si="9"/>
        <v>3277.5615825387722</v>
      </c>
    </row>
    <row r="41" spans="1:21">
      <c r="A41" s="409" t="b">
        <f>AND(IF(C41=SUMMARY!$B$12,TRUE,FALSE),IF(D41=SUMMARY!$B$28,TRUE,FALSE),IF(E41=SUMMARY!$B$9,TRUE,FALSE))</f>
        <v>0</v>
      </c>
      <c r="B41" s="149" t="s">
        <v>407</v>
      </c>
      <c r="C41" s="424" t="str">
        <f t="shared" si="5"/>
        <v>0% Oil Sands GREET</v>
      </c>
      <c r="D41" s="425" t="str">
        <f>Valuation!$B$7</f>
        <v>High</v>
      </c>
      <c r="E41" s="426" t="s">
        <v>51</v>
      </c>
      <c r="F41" s="424"/>
      <c r="G41" s="429">
        <v>90.718474076075665</v>
      </c>
      <c r="H41" s="796">
        <f>H29</f>
        <v>35.707921166958712</v>
      </c>
      <c r="I41" s="796">
        <f t="shared" ref="I41:N41" si="10">I29</f>
        <v>759.46966379216417</v>
      </c>
      <c r="J41" s="796">
        <f t="shared" si="10"/>
        <v>753.8418343906859</v>
      </c>
      <c r="K41" s="796">
        <f t="shared" si="10"/>
        <v>437.66758355850732</v>
      </c>
      <c r="L41" s="796">
        <f t="shared" si="10"/>
        <v>2224.1774875738147</v>
      </c>
      <c r="M41" s="796">
        <f t="shared" si="10"/>
        <v>1389.5605761316194</v>
      </c>
      <c r="N41" s="796">
        <f t="shared" si="10"/>
        <v>216.62380112928355</v>
      </c>
    </row>
    <row r="42" spans="1:21">
      <c r="A42" s="409" t="b">
        <f>AND(IF(C42=SUMMARY!$B$12,TRUE,FALSE),IF(D42=SUMMARY!$B$28,TRUE,FALSE),IF(E42=SUMMARY!$B$9,TRUE,FALSE))</f>
        <v>0</v>
      </c>
      <c r="B42" s="149" t="s">
        <v>407</v>
      </c>
      <c r="C42" s="424" t="str">
        <f t="shared" si="5"/>
        <v>0% Oil Sands GREET</v>
      </c>
      <c r="D42" s="425" t="str">
        <f>Valuation!$B$7</f>
        <v>High</v>
      </c>
      <c r="E42" s="426" t="s">
        <v>96</v>
      </c>
      <c r="F42" s="424"/>
      <c r="G42" s="429">
        <v>90.718474076075665</v>
      </c>
      <c r="H42" s="796">
        <f t="shared" ref="H42:N44" si="11">H30</f>
        <v>103.38211018360229</v>
      </c>
      <c r="I42" s="796">
        <f t="shared" si="11"/>
        <v>1489.1515537475525</v>
      </c>
      <c r="J42" s="796">
        <f t="shared" si="11"/>
        <v>2376.9948618235626</v>
      </c>
      <c r="K42" s="796">
        <f t="shared" si="11"/>
        <v>1159.1647473311421</v>
      </c>
      <c r="L42" s="796">
        <f t="shared" si="11"/>
        <v>9032.4148084809203</v>
      </c>
      <c r="M42" s="796">
        <f t="shared" si="11"/>
        <v>2606.3795444501061</v>
      </c>
      <c r="N42" s="796">
        <f t="shared" si="11"/>
        <v>866.7919618823471</v>
      </c>
    </row>
    <row r="43" spans="1:21">
      <c r="A43" s="409" t="b">
        <f>AND(IF(C43=SUMMARY!$B$12,TRUE,FALSE),IF(D43=SUMMARY!$B$28,TRUE,FALSE),IF(E43=SUMMARY!$B$9,TRUE,FALSE))</f>
        <v>0</v>
      </c>
      <c r="B43" s="149" t="s">
        <v>407</v>
      </c>
      <c r="C43" s="424" t="str">
        <f t="shared" si="5"/>
        <v>0% Oil Sands GREET</v>
      </c>
      <c r="D43" s="425" t="str">
        <f>Valuation!$B$7</f>
        <v>High</v>
      </c>
      <c r="E43" s="426" t="s">
        <v>50</v>
      </c>
      <c r="F43" s="424"/>
      <c r="G43" s="429">
        <v>90.718474076075665</v>
      </c>
      <c r="H43" s="796">
        <f t="shared" si="11"/>
        <v>3033.5681543234641</v>
      </c>
      <c r="I43" s="796">
        <f t="shared" si="11"/>
        <v>228245.4400290967</v>
      </c>
      <c r="J43" s="796">
        <f t="shared" si="11"/>
        <v>528.68513287775295</v>
      </c>
      <c r="K43" s="796">
        <f t="shared" si="11"/>
        <v>31362.72514395574</v>
      </c>
      <c r="L43" s="796">
        <f t="shared" si="11"/>
        <v>186841.95483760393</v>
      </c>
      <c r="M43" s="796">
        <f t="shared" si="11"/>
        <v>114729.07210305227</v>
      </c>
      <c r="N43" s="796">
        <f t="shared" si="11"/>
        <v>17322.46077525958</v>
      </c>
    </row>
    <row r="44" spans="1:21">
      <c r="A44" s="411" t="b">
        <f>AND(IF(C44=SUMMARY!$B$12,TRUE,FALSE),IF(D44=SUMMARY!$B$28,TRUE,FALSE),IF(E44=SUMMARY!$B$9,TRUE,FALSE))</f>
        <v>0</v>
      </c>
      <c r="B44" s="430" t="s">
        <v>407</v>
      </c>
      <c r="C44" s="431" t="str">
        <f t="shared" si="5"/>
        <v>0% Oil Sands GREET</v>
      </c>
      <c r="D44" s="432" t="str">
        <f>Valuation!$B$7</f>
        <v>High</v>
      </c>
      <c r="E44" s="433" t="s">
        <v>410</v>
      </c>
      <c r="F44" s="434"/>
      <c r="G44" s="367">
        <v>90.718474076075651</v>
      </c>
      <c r="H44" s="797">
        <f t="shared" si="11"/>
        <v>513.64763125180423</v>
      </c>
      <c r="I44" s="797">
        <f t="shared" si="11"/>
        <v>46213.161038072139</v>
      </c>
      <c r="J44" s="797">
        <f t="shared" si="11"/>
        <v>1589.6601327949231</v>
      </c>
      <c r="K44" s="797">
        <f t="shared" si="11"/>
        <v>5318.6934515733974</v>
      </c>
      <c r="L44" s="797">
        <f t="shared" si="11"/>
        <v>34743.189699254413</v>
      </c>
      <c r="M44" s="797">
        <f t="shared" si="11"/>
        <v>14276.098111886489</v>
      </c>
      <c r="N44" s="797">
        <f t="shared" si="11"/>
        <v>3277.5615825387722</v>
      </c>
    </row>
    <row r="45" spans="1:21">
      <c r="A45" s="409" t="b">
        <f>AND(IF(C45=SUMMARY!$B$12,TRUE,FALSE),IF(D45=SUMMARY!$B$28,TRUE,FALSE),IF(E45=SUMMARY!$B$9,TRUE,FALSE))</f>
        <v>0</v>
      </c>
      <c r="B45" s="149" t="s">
        <v>407</v>
      </c>
      <c r="C45" s="424" t="str">
        <f t="shared" ref="C45:C60" si="12">$D$14</f>
        <v>9.4% Oil Sands GREET</v>
      </c>
      <c r="D45" s="425" t="str">
        <f>Valuation!$B$8</f>
        <v>Zero</v>
      </c>
      <c r="E45" s="426" t="s">
        <v>51</v>
      </c>
      <c r="F45" s="424"/>
      <c r="G45" s="429">
        <v>0</v>
      </c>
      <c r="H45" s="798">
        <v>35.707921166958712</v>
      </c>
      <c r="I45" s="798">
        <v>759.46966379216417</v>
      </c>
      <c r="J45" s="798">
        <v>753.8418343906859</v>
      </c>
      <c r="K45" s="798">
        <v>437.66758355850732</v>
      </c>
      <c r="L45" s="798">
        <v>2224.1774875738147</v>
      </c>
      <c r="M45" s="798">
        <v>1389.5605761316194</v>
      </c>
      <c r="N45" s="798">
        <v>216.62380112928355</v>
      </c>
      <c r="P45" s="541"/>
      <c r="Q45" s="541"/>
      <c r="R45" s="541"/>
      <c r="S45" s="541"/>
      <c r="T45" s="541"/>
      <c r="U45" s="541"/>
    </row>
    <row r="46" spans="1:21">
      <c r="A46" s="409" t="b">
        <f>AND(IF(C46=SUMMARY!$B$12,TRUE,FALSE),IF(D46=SUMMARY!$B$28,TRUE,FALSE),IF(E46=SUMMARY!$B$9,TRUE,FALSE))</f>
        <v>0</v>
      </c>
      <c r="B46" s="149" t="s">
        <v>407</v>
      </c>
      <c r="C46" s="424" t="str">
        <f t="shared" si="12"/>
        <v>9.4% Oil Sands GREET</v>
      </c>
      <c r="D46" s="425" t="str">
        <f>Valuation!$B$8</f>
        <v>Zero</v>
      </c>
      <c r="E46" s="426" t="s">
        <v>96</v>
      </c>
      <c r="F46" s="424"/>
      <c r="G46" s="429">
        <v>0</v>
      </c>
      <c r="H46" s="798">
        <v>103.38211018360229</v>
      </c>
      <c r="I46" s="798">
        <v>1489.1515537475525</v>
      </c>
      <c r="J46" s="798">
        <v>2376.9948618235626</v>
      </c>
      <c r="K46" s="798">
        <v>1159.1647473311421</v>
      </c>
      <c r="L46" s="798">
        <v>9032.4148084809203</v>
      </c>
      <c r="M46" s="798">
        <v>2606.3795444501061</v>
      </c>
      <c r="N46" s="798">
        <v>866.7919618823471</v>
      </c>
      <c r="P46" s="541"/>
      <c r="Q46" s="541"/>
      <c r="R46" s="541"/>
      <c r="S46" s="541"/>
      <c r="T46" s="541"/>
      <c r="U46" s="541"/>
    </row>
    <row r="47" spans="1:21">
      <c r="A47" s="409" t="b">
        <f>AND(IF(C47=SUMMARY!$B$12,TRUE,FALSE),IF(D47=SUMMARY!$B$28,TRUE,FALSE),IF(E47=SUMMARY!$B$9,TRUE,FALSE))</f>
        <v>0</v>
      </c>
      <c r="B47" s="149" t="s">
        <v>407</v>
      </c>
      <c r="C47" s="424" t="str">
        <f t="shared" si="12"/>
        <v>9.4% Oil Sands GREET</v>
      </c>
      <c r="D47" s="425" t="str">
        <f>Valuation!$B$8</f>
        <v>Zero</v>
      </c>
      <c r="E47" s="426" t="s">
        <v>50</v>
      </c>
      <c r="F47" s="424"/>
      <c r="G47" s="429">
        <v>0</v>
      </c>
      <c r="H47" s="798">
        <v>3033.5681543234641</v>
      </c>
      <c r="I47" s="798">
        <v>228245.4400290967</v>
      </c>
      <c r="J47" s="798">
        <v>528.68513287775295</v>
      </c>
      <c r="K47" s="798">
        <v>31362.72514395574</v>
      </c>
      <c r="L47" s="798">
        <v>186841.95483760393</v>
      </c>
      <c r="M47" s="798">
        <v>114729.07210305227</v>
      </c>
      <c r="N47" s="798">
        <v>17322.46077525958</v>
      </c>
      <c r="P47" s="541"/>
      <c r="Q47" s="541"/>
      <c r="R47" s="541"/>
      <c r="S47" s="541"/>
      <c r="T47" s="541"/>
      <c r="U47" s="541"/>
    </row>
    <row r="48" spans="1:21">
      <c r="A48" s="409" t="b">
        <f>AND(IF(C48=SUMMARY!$B$12,TRUE,FALSE),IF(D48=SUMMARY!$B$28,TRUE,FALSE),IF(E48=SUMMARY!$B$9,TRUE,FALSE))</f>
        <v>0</v>
      </c>
      <c r="B48" s="149" t="s">
        <v>407</v>
      </c>
      <c r="C48" s="424" t="str">
        <f t="shared" si="12"/>
        <v>9.4% Oil Sands GREET</v>
      </c>
      <c r="D48" s="425" t="str">
        <f>Valuation!$B$8</f>
        <v>Zero</v>
      </c>
      <c r="E48" s="439" t="s">
        <v>410</v>
      </c>
      <c r="F48" s="428"/>
      <c r="G48" s="429">
        <v>0</v>
      </c>
      <c r="H48" s="798">
        <v>513.64763125180423</v>
      </c>
      <c r="I48" s="798">
        <v>46213.161038072139</v>
      </c>
      <c r="J48" s="798">
        <v>1589.6601327949231</v>
      </c>
      <c r="K48" s="798">
        <v>5318.6934515733974</v>
      </c>
      <c r="L48" s="798">
        <v>34743.189699254413</v>
      </c>
      <c r="M48" s="798">
        <v>14276.098111886489</v>
      </c>
      <c r="N48" s="798">
        <v>3277.5615825387722</v>
      </c>
      <c r="P48" s="541"/>
      <c r="Q48" s="541"/>
      <c r="R48" s="541"/>
      <c r="S48" s="541"/>
      <c r="T48" s="541"/>
      <c r="U48" s="541"/>
    </row>
    <row r="49" spans="1:14">
      <c r="A49" s="409" t="b">
        <f>AND(IF(C49=SUMMARY!$B$12,TRUE,FALSE),IF(D49=SUMMARY!$B$28,TRUE,FALSE),IF(E49=SUMMARY!$B$9,TRUE,FALSE))</f>
        <v>0</v>
      </c>
      <c r="B49" s="149" t="s">
        <v>407</v>
      </c>
      <c r="C49" s="424" t="str">
        <f t="shared" si="12"/>
        <v>9.4% Oil Sands GREET</v>
      </c>
      <c r="D49" s="425" t="str">
        <f>Valuation!$B$5</f>
        <v>Low</v>
      </c>
      <c r="E49" s="426" t="s">
        <v>51</v>
      </c>
      <c r="F49" s="424"/>
      <c r="G49" s="429">
        <v>9.0718474076075672</v>
      </c>
      <c r="H49" s="796">
        <f>H45</f>
        <v>35.707921166958712</v>
      </c>
      <c r="I49" s="796">
        <f t="shared" ref="I49:N49" si="13">I45</f>
        <v>759.46966379216417</v>
      </c>
      <c r="J49" s="796">
        <f t="shared" si="13"/>
        <v>753.8418343906859</v>
      </c>
      <c r="K49" s="796">
        <f t="shared" si="13"/>
        <v>437.66758355850732</v>
      </c>
      <c r="L49" s="796">
        <f t="shared" si="13"/>
        <v>2224.1774875738147</v>
      </c>
      <c r="M49" s="796">
        <f t="shared" si="13"/>
        <v>1389.5605761316194</v>
      </c>
      <c r="N49" s="796">
        <f t="shared" si="13"/>
        <v>216.62380112928355</v>
      </c>
    </row>
    <row r="50" spans="1:14">
      <c r="A50" s="409" t="b">
        <f>AND(IF(C50=SUMMARY!$B$12,TRUE,FALSE),IF(D50=SUMMARY!$B$28,TRUE,FALSE),IF(E50=SUMMARY!$B$9,TRUE,FALSE))</f>
        <v>0</v>
      </c>
      <c r="B50" s="149" t="s">
        <v>407</v>
      </c>
      <c r="C50" s="424" t="str">
        <f t="shared" si="12"/>
        <v>9.4% Oil Sands GREET</v>
      </c>
      <c r="D50" s="425" t="str">
        <f>Valuation!$B$5</f>
        <v>Low</v>
      </c>
      <c r="E50" s="426" t="s">
        <v>96</v>
      </c>
      <c r="F50" s="424"/>
      <c r="G50" s="429">
        <v>9.0718474076075672</v>
      </c>
      <c r="H50" s="796">
        <f t="shared" ref="H50:N52" si="14">H46</f>
        <v>103.38211018360229</v>
      </c>
      <c r="I50" s="796">
        <f t="shared" si="14"/>
        <v>1489.1515537475525</v>
      </c>
      <c r="J50" s="796">
        <f t="shared" si="14"/>
        <v>2376.9948618235626</v>
      </c>
      <c r="K50" s="796">
        <f t="shared" si="14"/>
        <v>1159.1647473311421</v>
      </c>
      <c r="L50" s="796">
        <f t="shared" si="14"/>
        <v>9032.4148084809203</v>
      </c>
      <c r="M50" s="796">
        <f t="shared" si="14"/>
        <v>2606.3795444501061</v>
      </c>
      <c r="N50" s="796">
        <f t="shared" si="14"/>
        <v>866.7919618823471</v>
      </c>
    </row>
    <row r="51" spans="1:14">
      <c r="A51" s="409" t="b">
        <f>AND(IF(C51=SUMMARY!$B$12,TRUE,FALSE),IF(D51=SUMMARY!$B$28,TRUE,FALSE),IF(E51=SUMMARY!$B$9,TRUE,FALSE))</f>
        <v>0</v>
      </c>
      <c r="B51" s="149" t="s">
        <v>407</v>
      </c>
      <c r="C51" s="424" t="str">
        <f t="shared" si="12"/>
        <v>9.4% Oil Sands GREET</v>
      </c>
      <c r="D51" s="425" t="str">
        <f>Valuation!$B$5</f>
        <v>Low</v>
      </c>
      <c r="E51" s="426" t="s">
        <v>50</v>
      </c>
      <c r="F51" s="424"/>
      <c r="G51" s="429">
        <v>9.0718474076075672</v>
      </c>
      <c r="H51" s="796">
        <f t="shared" si="14"/>
        <v>3033.5681543234641</v>
      </c>
      <c r="I51" s="796">
        <f t="shared" si="14"/>
        <v>228245.4400290967</v>
      </c>
      <c r="J51" s="796">
        <f t="shared" si="14"/>
        <v>528.68513287775295</v>
      </c>
      <c r="K51" s="796">
        <f t="shared" si="14"/>
        <v>31362.72514395574</v>
      </c>
      <c r="L51" s="796">
        <f t="shared" si="14"/>
        <v>186841.95483760393</v>
      </c>
      <c r="M51" s="796">
        <f t="shared" si="14"/>
        <v>114729.07210305227</v>
      </c>
      <c r="N51" s="796">
        <f t="shared" si="14"/>
        <v>17322.46077525958</v>
      </c>
    </row>
    <row r="52" spans="1:14">
      <c r="A52" s="409" t="b">
        <f>AND(IF(C52=SUMMARY!$B$12,TRUE,FALSE),IF(D52=SUMMARY!$B$28,TRUE,FALSE),IF(E52=SUMMARY!$B$9,TRUE,FALSE))</f>
        <v>0</v>
      </c>
      <c r="B52" s="149" t="s">
        <v>407</v>
      </c>
      <c r="C52" s="424" t="str">
        <f t="shared" si="12"/>
        <v>9.4% Oil Sands GREET</v>
      </c>
      <c r="D52" s="425" t="str">
        <f>Valuation!$B$5</f>
        <v>Low</v>
      </c>
      <c r="E52" s="439" t="s">
        <v>410</v>
      </c>
      <c r="F52" s="424"/>
      <c r="G52" s="429">
        <v>9.0718474076075655</v>
      </c>
      <c r="H52" s="796">
        <f t="shared" si="14"/>
        <v>513.64763125180423</v>
      </c>
      <c r="I52" s="796">
        <f t="shared" si="14"/>
        <v>46213.161038072139</v>
      </c>
      <c r="J52" s="796">
        <f t="shared" si="14"/>
        <v>1589.6601327949231</v>
      </c>
      <c r="K52" s="796">
        <f t="shared" si="14"/>
        <v>5318.6934515733974</v>
      </c>
      <c r="L52" s="796">
        <f t="shared" si="14"/>
        <v>34743.189699254413</v>
      </c>
      <c r="M52" s="796">
        <f t="shared" si="14"/>
        <v>14276.098111886489</v>
      </c>
      <c r="N52" s="796">
        <f t="shared" si="14"/>
        <v>3277.5615825387722</v>
      </c>
    </row>
    <row r="53" spans="1:14">
      <c r="A53" s="409" t="b">
        <f>AND(IF(C53=SUMMARY!$B$12,TRUE,FALSE),IF(D53=SUMMARY!$B$28,TRUE,FALSE),IF(E53=SUMMARY!$B$9,TRUE,FALSE))</f>
        <v>0</v>
      </c>
      <c r="B53" s="149" t="s">
        <v>407</v>
      </c>
      <c r="C53" s="424" t="str">
        <f t="shared" si="12"/>
        <v>9.4% Oil Sands GREET</v>
      </c>
      <c r="D53" s="425" t="str">
        <f>Valuation!$B$6</f>
        <v>Medium</v>
      </c>
      <c r="E53" s="426" t="s">
        <v>51</v>
      </c>
      <c r="F53" s="424"/>
      <c r="G53" s="429">
        <v>27.215542222822698</v>
      </c>
      <c r="H53" s="796">
        <f>H45</f>
        <v>35.707921166958712</v>
      </c>
      <c r="I53" s="796">
        <f t="shared" ref="I53:N53" si="15">I45</f>
        <v>759.46966379216417</v>
      </c>
      <c r="J53" s="796">
        <f t="shared" si="15"/>
        <v>753.8418343906859</v>
      </c>
      <c r="K53" s="796">
        <f t="shared" si="15"/>
        <v>437.66758355850732</v>
      </c>
      <c r="L53" s="796">
        <f t="shared" si="15"/>
        <v>2224.1774875738147</v>
      </c>
      <c r="M53" s="796">
        <f t="shared" si="15"/>
        <v>1389.5605761316194</v>
      </c>
      <c r="N53" s="796">
        <f t="shared" si="15"/>
        <v>216.62380112928355</v>
      </c>
    </row>
    <row r="54" spans="1:14">
      <c r="A54" s="409" t="b">
        <f>AND(IF(C54=SUMMARY!$B$12,TRUE,FALSE),IF(D54=SUMMARY!$B$28,TRUE,FALSE),IF(E54=SUMMARY!$B$9,TRUE,FALSE))</f>
        <v>0</v>
      </c>
      <c r="B54" s="149" t="s">
        <v>407</v>
      </c>
      <c r="C54" s="424" t="str">
        <f t="shared" si="12"/>
        <v>9.4% Oil Sands GREET</v>
      </c>
      <c r="D54" s="425" t="str">
        <f>Valuation!$B$6</f>
        <v>Medium</v>
      </c>
      <c r="E54" s="426" t="s">
        <v>96</v>
      </c>
      <c r="F54" s="428"/>
      <c r="G54" s="429">
        <v>27.215542222822698</v>
      </c>
      <c r="H54" s="796">
        <f t="shared" ref="H54:N56" si="16">H46</f>
        <v>103.38211018360229</v>
      </c>
      <c r="I54" s="796">
        <f t="shared" si="16"/>
        <v>1489.1515537475525</v>
      </c>
      <c r="J54" s="796">
        <f t="shared" si="16"/>
        <v>2376.9948618235626</v>
      </c>
      <c r="K54" s="796">
        <f t="shared" si="16"/>
        <v>1159.1647473311421</v>
      </c>
      <c r="L54" s="796">
        <f t="shared" si="16"/>
        <v>9032.4148084809203</v>
      </c>
      <c r="M54" s="796">
        <f t="shared" si="16"/>
        <v>2606.3795444501061</v>
      </c>
      <c r="N54" s="796">
        <f t="shared" si="16"/>
        <v>866.7919618823471</v>
      </c>
    </row>
    <row r="55" spans="1:14">
      <c r="A55" s="409" t="b">
        <f>AND(IF(C55=SUMMARY!$B$12,TRUE,FALSE),IF(D55=SUMMARY!$B$28,TRUE,FALSE),IF(E55=SUMMARY!$B$9,TRUE,FALSE))</f>
        <v>0</v>
      </c>
      <c r="B55" s="149" t="s">
        <v>407</v>
      </c>
      <c r="C55" s="424" t="str">
        <f t="shared" si="12"/>
        <v>9.4% Oil Sands GREET</v>
      </c>
      <c r="D55" s="425" t="str">
        <f>Valuation!$B$6</f>
        <v>Medium</v>
      </c>
      <c r="E55" s="426" t="s">
        <v>50</v>
      </c>
      <c r="F55" s="424"/>
      <c r="G55" s="429">
        <v>27.215542222822698</v>
      </c>
      <c r="H55" s="796">
        <f t="shared" si="16"/>
        <v>3033.5681543234641</v>
      </c>
      <c r="I55" s="796">
        <f t="shared" si="16"/>
        <v>228245.4400290967</v>
      </c>
      <c r="J55" s="796">
        <f t="shared" si="16"/>
        <v>528.68513287775295</v>
      </c>
      <c r="K55" s="796">
        <f t="shared" si="16"/>
        <v>31362.72514395574</v>
      </c>
      <c r="L55" s="796">
        <f t="shared" si="16"/>
        <v>186841.95483760393</v>
      </c>
      <c r="M55" s="796">
        <f t="shared" si="16"/>
        <v>114729.07210305227</v>
      </c>
      <c r="N55" s="796">
        <f t="shared" si="16"/>
        <v>17322.46077525958</v>
      </c>
    </row>
    <row r="56" spans="1:14">
      <c r="A56" s="450" t="b">
        <f>AND(IF(C56=SUMMARY!$B$12,TRUE,FALSE),IF(D56=SUMMARY!$B$28,TRUE,FALSE),IF(E56=SUMMARY!$B$9,TRUE,FALSE))</f>
        <v>1</v>
      </c>
      <c r="B56" s="451" t="s">
        <v>407</v>
      </c>
      <c r="C56" s="452" t="str">
        <f t="shared" si="12"/>
        <v>9.4% Oil Sands GREET</v>
      </c>
      <c r="D56" s="453" t="str">
        <f>Valuation!$B$6</f>
        <v>Medium</v>
      </c>
      <c r="E56" s="454" t="s">
        <v>410</v>
      </c>
      <c r="F56" s="452"/>
      <c r="G56" s="455">
        <v>27.215542222822702</v>
      </c>
      <c r="H56" s="799">
        <f t="shared" si="16"/>
        <v>513.64763125180423</v>
      </c>
      <c r="I56" s="799">
        <f t="shared" si="16"/>
        <v>46213.161038072139</v>
      </c>
      <c r="J56" s="799">
        <f t="shared" si="16"/>
        <v>1589.6601327949231</v>
      </c>
      <c r="K56" s="799">
        <f t="shared" si="16"/>
        <v>5318.6934515733974</v>
      </c>
      <c r="L56" s="799">
        <f t="shared" si="16"/>
        <v>34743.189699254413</v>
      </c>
      <c r="M56" s="799">
        <f t="shared" si="16"/>
        <v>14276.098111886489</v>
      </c>
      <c r="N56" s="799">
        <f t="shared" si="16"/>
        <v>3277.5615825387722</v>
      </c>
    </row>
    <row r="57" spans="1:14">
      <c r="A57" s="409" t="b">
        <f>AND(IF(C57=SUMMARY!$B$12,TRUE,FALSE),IF(D57=SUMMARY!$B$28,TRUE,FALSE),IF(E57=SUMMARY!$B$9,TRUE,FALSE))</f>
        <v>0</v>
      </c>
      <c r="B57" s="149" t="s">
        <v>407</v>
      </c>
      <c r="C57" s="424" t="str">
        <f t="shared" si="12"/>
        <v>9.4% Oil Sands GREET</v>
      </c>
      <c r="D57" s="425" t="str">
        <f>Valuation!$B$7</f>
        <v>High</v>
      </c>
      <c r="E57" s="426" t="s">
        <v>51</v>
      </c>
      <c r="F57" s="424"/>
      <c r="G57" s="429">
        <v>90.718474076075665</v>
      </c>
      <c r="H57" s="796">
        <f>H45</f>
        <v>35.707921166958712</v>
      </c>
      <c r="I57" s="796">
        <f t="shared" ref="I57:N57" si="17">I45</f>
        <v>759.46966379216417</v>
      </c>
      <c r="J57" s="796">
        <f t="shared" si="17"/>
        <v>753.8418343906859</v>
      </c>
      <c r="K57" s="796">
        <f t="shared" si="17"/>
        <v>437.66758355850732</v>
      </c>
      <c r="L57" s="796">
        <f t="shared" si="17"/>
        <v>2224.1774875738147</v>
      </c>
      <c r="M57" s="796">
        <f t="shared" si="17"/>
        <v>1389.5605761316194</v>
      </c>
      <c r="N57" s="796">
        <f t="shared" si="17"/>
        <v>216.62380112928355</v>
      </c>
    </row>
    <row r="58" spans="1:14">
      <c r="A58" s="409" t="b">
        <f>AND(IF(C58=SUMMARY!$B$12,TRUE,FALSE),IF(D58=SUMMARY!$B$28,TRUE,FALSE),IF(E58=SUMMARY!$B$9,TRUE,FALSE))</f>
        <v>0</v>
      </c>
      <c r="B58" s="149" t="s">
        <v>407</v>
      </c>
      <c r="C58" s="424" t="str">
        <f t="shared" si="12"/>
        <v>9.4% Oil Sands GREET</v>
      </c>
      <c r="D58" s="425" t="str">
        <f>Valuation!$B$7</f>
        <v>High</v>
      </c>
      <c r="E58" s="426" t="s">
        <v>96</v>
      </c>
      <c r="F58" s="428"/>
      <c r="G58" s="429">
        <v>90.718474076075665</v>
      </c>
      <c r="H58" s="796">
        <f t="shared" ref="H58:N60" si="18">H46</f>
        <v>103.38211018360229</v>
      </c>
      <c r="I58" s="796">
        <f t="shared" si="18"/>
        <v>1489.1515537475525</v>
      </c>
      <c r="J58" s="796">
        <f t="shared" si="18"/>
        <v>2376.9948618235626</v>
      </c>
      <c r="K58" s="796">
        <f t="shared" si="18"/>
        <v>1159.1647473311421</v>
      </c>
      <c r="L58" s="796">
        <f t="shared" si="18"/>
        <v>9032.4148084809203</v>
      </c>
      <c r="M58" s="796">
        <f t="shared" si="18"/>
        <v>2606.3795444501061</v>
      </c>
      <c r="N58" s="796">
        <f t="shared" si="18"/>
        <v>866.7919618823471</v>
      </c>
    </row>
    <row r="59" spans="1:14">
      <c r="A59" s="409" t="b">
        <f>AND(IF(C59=SUMMARY!$B$12,TRUE,FALSE),IF(D59=SUMMARY!$B$28,TRUE,FALSE),IF(E59=SUMMARY!$B$9,TRUE,FALSE))</f>
        <v>0</v>
      </c>
      <c r="B59" s="149" t="s">
        <v>407</v>
      </c>
      <c r="C59" s="424" t="str">
        <f t="shared" si="12"/>
        <v>9.4% Oil Sands GREET</v>
      </c>
      <c r="D59" s="425" t="str">
        <f>Valuation!$B$7</f>
        <v>High</v>
      </c>
      <c r="E59" s="426" t="s">
        <v>50</v>
      </c>
      <c r="F59" s="424"/>
      <c r="G59" s="429">
        <v>90.718474076075665</v>
      </c>
      <c r="H59" s="796">
        <f t="shared" si="18"/>
        <v>3033.5681543234641</v>
      </c>
      <c r="I59" s="796">
        <f t="shared" si="18"/>
        <v>228245.4400290967</v>
      </c>
      <c r="J59" s="796">
        <f t="shared" si="18"/>
        <v>528.68513287775295</v>
      </c>
      <c r="K59" s="796">
        <f t="shared" si="18"/>
        <v>31362.72514395574</v>
      </c>
      <c r="L59" s="796">
        <f t="shared" si="18"/>
        <v>186841.95483760393</v>
      </c>
      <c r="M59" s="796">
        <f t="shared" si="18"/>
        <v>114729.07210305227</v>
      </c>
      <c r="N59" s="796">
        <f t="shared" si="18"/>
        <v>17322.46077525958</v>
      </c>
    </row>
    <row r="60" spans="1:14">
      <c r="A60" s="411" t="b">
        <f>AND(IF(C60=SUMMARY!$B$12,TRUE,FALSE),IF(D60=SUMMARY!$B$28,TRUE,FALSE),IF(E60=SUMMARY!$B$9,TRUE,FALSE))</f>
        <v>0</v>
      </c>
      <c r="B60" s="430" t="s">
        <v>407</v>
      </c>
      <c r="C60" s="431" t="str">
        <f t="shared" si="12"/>
        <v>9.4% Oil Sands GREET</v>
      </c>
      <c r="D60" s="432" t="str">
        <f>Valuation!$B$7</f>
        <v>High</v>
      </c>
      <c r="E60" s="433" t="s">
        <v>410</v>
      </c>
      <c r="F60" s="431"/>
      <c r="G60" s="367">
        <v>90.718474076075651</v>
      </c>
      <c r="H60" s="797">
        <f t="shared" si="18"/>
        <v>513.64763125180423</v>
      </c>
      <c r="I60" s="797">
        <f t="shared" si="18"/>
        <v>46213.161038072139</v>
      </c>
      <c r="J60" s="797">
        <f t="shared" si="18"/>
        <v>1589.6601327949231</v>
      </c>
      <c r="K60" s="797">
        <f t="shared" si="18"/>
        <v>5318.6934515733974</v>
      </c>
      <c r="L60" s="797">
        <f t="shared" si="18"/>
        <v>34743.189699254413</v>
      </c>
      <c r="M60" s="797">
        <f t="shared" si="18"/>
        <v>14276.098111886489</v>
      </c>
      <c r="N60" s="797">
        <f t="shared" si="18"/>
        <v>3277.5615825387722</v>
      </c>
    </row>
    <row r="61" spans="1:14">
      <c r="A61" s="409" t="b">
        <f>AND(IF(C61=SUMMARY!$B$12,TRUE,FALSE),IF(D61=SUMMARY!$B$28,TRUE,FALSE),IF(E61=SUMMARY!$B$9,TRUE,FALSE))</f>
        <v>0</v>
      </c>
      <c r="B61" s="149" t="s">
        <v>407</v>
      </c>
      <c r="C61" s="424" t="str">
        <f t="shared" ref="C61:C76" si="19">$D$15</f>
        <v>100% Oil Sands GREET</v>
      </c>
      <c r="D61" s="425" t="str">
        <f>Valuation!$B$8</f>
        <v>Zero</v>
      </c>
      <c r="E61" s="426" t="s">
        <v>51</v>
      </c>
      <c r="F61" s="424"/>
      <c r="G61" s="429">
        <v>0</v>
      </c>
      <c r="H61" s="798">
        <v>35.707921166958712</v>
      </c>
      <c r="I61" s="798">
        <v>759.46966379216417</v>
      </c>
      <c r="J61" s="798">
        <v>753.8418343906859</v>
      </c>
      <c r="K61" s="798">
        <v>437.66758355850732</v>
      </c>
      <c r="L61" s="798">
        <v>2224.1774875738147</v>
      </c>
      <c r="M61" s="798">
        <v>1389.5605761316194</v>
      </c>
      <c r="N61" s="798">
        <v>216.62380112928355</v>
      </c>
    </row>
    <row r="62" spans="1:14">
      <c r="A62" s="409" t="b">
        <f>AND(IF(C62=SUMMARY!$B$12,TRUE,FALSE),IF(D62=SUMMARY!$B$28,TRUE,FALSE),IF(E62=SUMMARY!$B$9,TRUE,FALSE))</f>
        <v>0</v>
      </c>
      <c r="B62" s="149" t="s">
        <v>407</v>
      </c>
      <c r="C62" s="424" t="str">
        <f t="shared" si="19"/>
        <v>100% Oil Sands GREET</v>
      </c>
      <c r="D62" s="425" t="str">
        <f>Valuation!$B$8</f>
        <v>Zero</v>
      </c>
      <c r="E62" s="426" t="s">
        <v>96</v>
      </c>
      <c r="F62" s="424"/>
      <c r="G62" s="429">
        <v>0</v>
      </c>
      <c r="H62" s="798">
        <v>103.38211018360229</v>
      </c>
      <c r="I62" s="798">
        <v>1489.1515537475525</v>
      </c>
      <c r="J62" s="798">
        <v>2376.9948618235626</v>
      </c>
      <c r="K62" s="798">
        <v>1159.1647473311421</v>
      </c>
      <c r="L62" s="798">
        <v>9032.4148084809203</v>
      </c>
      <c r="M62" s="798">
        <v>2606.3795444501061</v>
      </c>
      <c r="N62" s="798">
        <v>866.7919618823471</v>
      </c>
    </row>
    <row r="63" spans="1:14">
      <c r="A63" s="409" t="b">
        <f>AND(IF(C63=SUMMARY!$B$12,TRUE,FALSE),IF(D63=SUMMARY!$B$28,TRUE,FALSE),IF(E63=SUMMARY!$B$9,TRUE,FALSE))</f>
        <v>0</v>
      </c>
      <c r="B63" s="149" t="s">
        <v>407</v>
      </c>
      <c r="C63" s="424" t="str">
        <f t="shared" si="19"/>
        <v>100% Oil Sands GREET</v>
      </c>
      <c r="D63" s="425" t="str">
        <f>Valuation!$B$8</f>
        <v>Zero</v>
      </c>
      <c r="E63" s="426" t="s">
        <v>50</v>
      </c>
      <c r="F63" s="424"/>
      <c r="G63" s="429">
        <v>0</v>
      </c>
      <c r="H63" s="798">
        <v>3033.5681543234641</v>
      </c>
      <c r="I63" s="798">
        <v>228245.4400290967</v>
      </c>
      <c r="J63" s="798">
        <v>528.68513287775295</v>
      </c>
      <c r="K63" s="798">
        <v>31362.72514395574</v>
      </c>
      <c r="L63" s="798">
        <v>186841.95483760393</v>
      </c>
      <c r="M63" s="798">
        <v>114729.07210305227</v>
      </c>
      <c r="N63" s="798">
        <v>17322.46077525958</v>
      </c>
    </row>
    <row r="64" spans="1:14">
      <c r="A64" s="409" t="b">
        <f>AND(IF(C64=SUMMARY!$B$12,TRUE,FALSE),IF(D64=SUMMARY!$B$28,TRUE,FALSE),IF(E64=SUMMARY!$B$9,TRUE,FALSE))</f>
        <v>0</v>
      </c>
      <c r="B64" s="149" t="s">
        <v>407</v>
      </c>
      <c r="C64" s="424" t="str">
        <f t="shared" si="19"/>
        <v>100% Oil Sands GREET</v>
      </c>
      <c r="D64" s="425" t="str">
        <f>Valuation!$B$8</f>
        <v>Zero</v>
      </c>
      <c r="E64" s="439" t="s">
        <v>410</v>
      </c>
      <c r="F64" s="428"/>
      <c r="G64" s="429">
        <v>0</v>
      </c>
      <c r="H64" s="798">
        <v>513.64763125180423</v>
      </c>
      <c r="I64" s="798">
        <v>46213.161038072139</v>
      </c>
      <c r="J64" s="798">
        <v>1589.6601327949231</v>
      </c>
      <c r="K64" s="798">
        <v>5318.6934515733974</v>
      </c>
      <c r="L64" s="798">
        <v>34743.189699254413</v>
      </c>
      <c r="M64" s="798">
        <v>14276.098111886489</v>
      </c>
      <c r="N64" s="798">
        <v>3277.5615825387722</v>
      </c>
    </row>
    <row r="65" spans="1:15">
      <c r="A65" s="409" t="b">
        <f>AND(IF(C65=SUMMARY!$B$12,TRUE,FALSE),IF(D65=SUMMARY!$B$28,TRUE,FALSE),IF(E65=SUMMARY!$B$9,TRUE,FALSE))</f>
        <v>0</v>
      </c>
      <c r="B65" s="149" t="s">
        <v>407</v>
      </c>
      <c r="C65" s="424" t="str">
        <f t="shared" si="19"/>
        <v>100% Oil Sands GREET</v>
      </c>
      <c r="D65" s="425" t="str">
        <f>Valuation!$B$5</f>
        <v>Low</v>
      </c>
      <c r="E65" s="426" t="s">
        <v>51</v>
      </c>
      <c r="F65" s="424"/>
      <c r="G65" s="429">
        <v>9.0718474076075672</v>
      </c>
      <c r="H65" s="796">
        <f>H61</f>
        <v>35.707921166958712</v>
      </c>
      <c r="I65" s="796">
        <f t="shared" ref="I65:N65" si="20">I61</f>
        <v>759.46966379216417</v>
      </c>
      <c r="J65" s="796">
        <f t="shared" si="20"/>
        <v>753.8418343906859</v>
      </c>
      <c r="K65" s="796">
        <f t="shared" si="20"/>
        <v>437.66758355850732</v>
      </c>
      <c r="L65" s="796">
        <f t="shared" si="20"/>
        <v>2224.1774875738147</v>
      </c>
      <c r="M65" s="796">
        <f t="shared" si="20"/>
        <v>1389.5605761316194</v>
      </c>
      <c r="N65" s="796">
        <f t="shared" si="20"/>
        <v>216.62380112928355</v>
      </c>
    </row>
    <row r="66" spans="1:15">
      <c r="A66" s="409" t="b">
        <f>AND(IF(C66=SUMMARY!$B$12,TRUE,FALSE),IF(D66=SUMMARY!$B$28,TRUE,FALSE),IF(E66=SUMMARY!$B$9,TRUE,FALSE))</f>
        <v>0</v>
      </c>
      <c r="B66" s="149" t="s">
        <v>407</v>
      </c>
      <c r="C66" s="424" t="str">
        <f t="shared" si="19"/>
        <v>100% Oil Sands GREET</v>
      </c>
      <c r="D66" s="425" t="str">
        <f>Valuation!$B$5</f>
        <v>Low</v>
      </c>
      <c r="E66" s="426" t="s">
        <v>96</v>
      </c>
      <c r="F66" s="424"/>
      <c r="G66" s="429">
        <v>9.0718474076075672</v>
      </c>
      <c r="H66" s="796">
        <f t="shared" ref="H66:N68" si="21">H62</f>
        <v>103.38211018360229</v>
      </c>
      <c r="I66" s="796">
        <f t="shared" si="21"/>
        <v>1489.1515537475525</v>
      </c>
      <c r="J66" s="796">
        <f t="shared" si="21"/>
        <v>2376.9948618235626</v>
      </c>
      <c r="K66" s="796">
        <f t="shared" si="21"/>
        <v>1159.1647473311421</v>
      </c>
      <c r="L66" s="796">
        <f t="shared" si="21"/>
        <v>9032.4148084809203</v>
      </c>
      <c r="M66" s="796">
        <f t="shared" si="21"/>
        <v>2606.3795444501061</v>
      </c>
      <c r="N66" s="796">
        <f t="shared" si="21"/>
        <v>866.7919618823471</v>
      </c>
    </row>
    <row r="67" spans="1:15">
      <c r="A67" s="409" t="b">
        <f>AND(IF(C67=SUMMARY!$B$12,TRUE,FALSE),IF(D67=SUMMARY!$B$28,TRUE,FALSE),IF(E67=SUMMARY!$B$9,TRUE,FALSE))</f>
        <v>0</v>
      </c>
      <c r="B67" s="149" t="s">
        <v>407</v>
      </c>
      <c r="C67" s="424" t="str">
        <f t="shared" si="19"/>
        <v>100% Oil Sands GREET</v>
      </c>
      <c r="D67" s="425" t="str">
        <f>Valuation!$B$5</f>
        <v>Low</v>
      </c>
      <c r="E67" s="426" t="s">
        <v>50</v>
      </c>
      <c r="F67" s="424"/>
      <c r="G67" s="429">
        <v>9.0718474076075672</v>
      </c>
      <c r="H67" s="796">
        <f t="shared" si="21"/>
        <v>3033.5681543234641</v>
      </c>
      <c r="I67" s="796">
        <f t="shared" si="21"/>
        <v>228245.4400290967</v>
      </c>
      <c r="J67" s="796">
        <f t="shared" si="21"/>
        <v>528.68513287775295</v>
      </c>
      <c r="K67" s="796">
        <f t="shared" si="21"/>
        <v>31362.72514395574</v>
      </c>
      <c r="L67" s="796">
        <f t="shared" si="21"/>
        <v>186841.95483760393</v>
      </c>
      <c r="M67" s="796">
        <f t="shared" si="21"/>
        <v>114729.07210305227</v>
      </c>
      <c r="N67" s="796">
        <f t="shared" si="21"/>
        <v>17322.46077525958</v>
      </c>
    </row>
    <row r="68" spans="1:15">
      <c r="A68" s="409" t="b">
        <f>AND(IF(C68=SUMMARY!$B$12,TRUE,FALSE),IF(D68=SUMMARY!$B$28,TRUE,FALSE),IF(E68=SUMMARY!$B$9,TRUE,FALSE))</f>
        <v>0</v>
      </c>
      <c r="B68" s="149" t="s">
        <v>407</v>
      </c>
      <c r="C68" s="424" t="str">
        <f t="shared" si="19"/>
        <v>100% Oil Sands GREET</v>
      </c>
      <c r="D68" s="425" t="str">
        <f>Valuation!$B$5</f>
        <v>Low</v>
      </c>
      <c r="E68" s="439" t="s">
        <v>410</v>
      </c>
      <c r="F68" s="424"/>
      <c r="G68" s="429">
        <v>9.0718474076075655</v>
      </c>
      <c r="H68" s="796">
        <f t="shared" si="21"/>
        <v>513.64763125180423</v>
      </c>
      <c r="I68" s="796">
        <f t="shared" si="21"/>
        <v>46213.161038072139</v>
      </c>
      <c r="J68" s="796">
        <f t="shared" si="21"/>
        <v>1589.6601327949231</v>
      </c>
      <c r="K68" s="796">
        <f t="shared" si="21"/>
        <v>5318.6934515733974</v>
      </c>
      <c r="L68" s="796">
        <f t="shared" si="21"/>
        <v>34743.189699254413</v>
      </c>
      <c r="M68" s="796">
        <f t="shared" si="21"/>
        <v>14276.098111886489</v>
      </c>
      <c r="N68" s="796">
        <f t="shared" si="21"/>
        <v>3277.5615825387722</v>
      </c>
    </row>
    <row r="69" spans="1:15">
      <c r="A69" s="409" t="b">
        <f>AND(IF(C69=SUMMARY!$B$12,TRUE,FALSE),IF(D69=SUMMARY!$B$28,TRUE,FALSE),IF(E69=SUMMARY!$B$9,TRUE,FALSE))</f>
        <v>0</v>
      </c>
      <c r="B69" s="149" t="s">
        <v>407</v>
      </c>
      <c r="C69" s="424" t="str">
        <f t="shared" si="19"/>
        <v>100% Oil Sands GREET</v>
      </c>
      <c r="D69" s="425" t="str">
        <f>Valuation!$B$6</f>
        <v>Medium</v>
      </c>
      <c r="E69" s="426" t="s">
        <v>51</v>
      </c>
      <c r="F69" s="424"/>
      <c r="G69" s="429">
        <v>27.215542222822698</v>
      </c>
      <c r="H69" s="796">
        <f>H61</f>
        <v>35.707921166958712</v>
      </c>
      <c r="I69" s="796">
        <f t="shared" ref="I69:N69" si="22">I61</f>
        <v>759.46966379216417</v>
      </c>
      <c r="J69" s="796">
        <f t="shared" si="22"/>
        <v>753.8418343906859</v>
      </c>
      <c r="K69" s="796">
        <f t="shared" si="22"/>
        <v>437.66758355850732</v>
      </c>
      <c r="L69" s="796">
        <f t="shared" si="22"/>
        <v>2224.1774875738147</v>
      </c>
      <c r="M69" s="796">
        <f t="shared" si="22"/>
        <v>1389.5605761316194</v>
      </c>
      <c r="N69" s="796">
        <f t="shared" si="22"/>
        <v>216.62380112928355</v>
      </c>
    </row>
    <row r="70" spans="1:15">
      <c r="A70" s="409" t="b">
        <f>AND(IF(C70=SUMMARY!$B$12,TRUE,FALSE),IF(D70=SUMMARY!$B$28,TRUE,FALSE),IF(E70=SUMMARY!$B$9,TRUE,FALSE))</f>
        <v>0</v>
      </c>
      <c r="B70" s="149" t="s">
        <v>407</v>
      </c>
      <c r="C70" s="424" t="str">
        <f t="shared" si="19"/>
        <v>100% Oil Sands GREET</v>
      </c>
      <c r="D70" s="425" t="str">
        <f>Valuation!$B$6</f>
        <v>Medium</v>
      </c>
      <c r="E70" s="426" t="s">
        <v>96</v>
      </c>
      <c r="F70" s="428"/>
      <c r="G70" s="429">
        <v>27.215542222822698</v>
      </c>
      <c r="H70" s="796">
        <f t="shared" ref="H70:N72" si="23">H62</f>
        <v>103.38211018360229</v>
      </c>
      <c r="I70" s="796">
        <f t="shared" si="23"/>
        <v>1489.1515537475525</v>
      </c>
      <c r="J70" s="796">
        <f t="shared" si="23"/>
        <v>2376.9948618235626</v>
      </c>
      <c r="K70" s="796">
        <f t="shared" si="23"/>
        <v>1159.1647473311421</v>
      </c>
      <c r="L70" s="796">
        <f t="shared" si="23"/>
        <v>9032.4148084809203</v>
      </c>
      <c r="M70" s="796">
        <f t="shared" si="23"/>
        <v>2606.3795444501061</v>
      </c>
      <c r="N70" s="796">
        <f t="shared" si="23"/>
        <v>866.7919618823471</v>
      </c>
    </row>
    <row r="71" spans="1:15">
      <c r="A71" s="409" t="b">
        <f>AND(IF(C71=SUMMARY!$B$12,TRUE,FALSE),IF(D71=SUMMARY!$B$28,TRUE,FALSE),IF(E71=SUMMARY!$B$9,TRUE,FALSE))</f>
        <v>0</v>
      </c>
      <c r="B71" s="149" t="s">
        <v>407</v>
      </c>
      <c r="C71" s="424" t="str">
        <f t="shared" si="19"/>
        <v>100% Oil Sands GREET</v>
      </c>
      <c r="D71" s="425" t="str">
        <f>Valuation!$B$6</f>
        <v>Medium</v>
      </c>
      <c r="E71" s="426" t="s">
        <v>50</v>
      </c>
      <c r="F71" s="424"/>
      <c r="G71" s="429">
        <v>27.215542222822698</v>
      </c>
      <c r="H71" s="796">
        <f t="shared" si="23"/>
        <v>3033.5681543234641</v>
      </c>
      <c r="I71" s="796">
        <f t="shared" si="23"/>
        <v>228245.4400290967</v>
      </c>
      <c r="J71" s="796">
        <f t="shared" si="23"/>
        <v>528.68513287775295</v>
      </c>
      <c r="K71" s="796">
        <f t="shared" si="23"/>
        <v>31362.72514395574</v>
      </c>
      <c r="L71" s="796">
        <f t="shared" si="23"/>
        <v>186841.95483760393</v>
      </c>
      <c r="M71" s="796">
        <f t="shared" si="23"/>
        <v>114729.07210305227</v>
      </c>
      <c r="N71" s="796">
        <f t="shared" si="23"/>
        <v>17322.46077525958</v>
      </c>
    </row>
    <row r="72" spans="1:15">
      <c r="A72" s="409" t="b">
        <f>AND(IF(C72=SUMMARY!$B$12,TRUE,FALSE),IF(D72=SUMMARY!$B$28,TRUE,FALSE),IF(E72=SUMMARY!$B$9,TRUE,FALSE))</f>
        <v>0</v>
      </c>
      <c r="B72" s="149" t="s">
        <v>407</v>
      </c>
      <c r="C72" s="424" t="str">
        <f t="shared" si="19"/>
        <v>100% Oil Sands GREET</v>
      </c>
      <c r="D72" s="425" t="str">
        <f>Valuation!$B$6</f>
        <v>Medium</v>
      </c>
      <c r="E72" s="439" t="s">
        <v>410</v>
      </c>
      <c r="F72" s="424"/>
      <c r="G72" s="429">
        <v>27.215542222822702</v>
      </c>
      <c r="H72" s="796">
        <f t="shared" si="23"/>
        <v>513.64763125180423</v>
      </c>
      <c r="I72" s="796">
        <f t="shared" si="23"/>
        <v>46213.161038072139</v>
      </c>
      <c r="J72" s="796">
        <f t="shared" si="23"/>
        <v>1589.6601327949231</v>
      </c>
      <c r="K72" s="796">
        <f t="shared" si="23"/>
        <v>5318.6934515733974</v>
      </c>
      <c r="L72" s="796">
        <f t="shared" si="23"/>
        <v>34743.189699254413</v>
      </c>
      <c r="M72" s="796">
        <f t="shared" si="23"/>
        <v>14276.098111886489</v>
      </c>
      <c r="N72" s="796">
        <f t="shared" si="23"/>
        <v>3277.5615825387722</v>
      </c>
    </row>
    <row r="73" spans="1:15">
      <c r="A73" s="409" t="b">
        <f>AND(IF(C73=SUMMARY!$B$12,TRUE,FALSE),IF(D73=SUMMARY!$B$28,TRUE,FALSE),IF(E73=SUMMARY!$B$9,TRUE,FALSE))</f>
        <v>0</v>
      </c>
      <c r="B73" s="149" t="s">
        <v>407</v>
      </c>
      <c r="C73" s="424" t="str">
        <f t="shared" si="19"/>
        <v>100% Oil Sands GREET</v>
      </c>
      <c r="D73" s="425" t="str">
        <f>Valuation!$B$7</f>
        <v>High</v>
      </c>
      <c r="E73" s="426" t="s">
        <v>51</v>
      </c>
      <c r="F73" s="424"/>
      <c r="G73" s="429">
        <v>90.718474076075665</v>
      </c>
      <c r="H73" s="796">
        <f>H61</f>
        <v>35.707921166958712</v>
      </c>
      <c r="I73" s="796">
        <f t="shared" ref="I73:N73" si="24">I61</f>
        <v>759.46966379216417</v>
      </c>
      <c r="J73" s="796">
        <f t="shared" si="24"/>
        <v>753.8418343906859</v>
      </c>
      <c r="K73" s="796">
        <f t="shared" si="24"/>
        <v>437.66758355850732</v>
      </c>
      <c r="L73" s="796">
        <f t="shared" si="24"/>
        <v>2224.1774875738147</v>
      </c>
      <c r="M73" s="796">
        <f t="shared" si="24"/>
        <v>1389.5605761316194</v>
      </c>
      <c r="N73" s="796">
        <f t="shared" si="24"/>
        <v>216.62380112928355</v>
      </c>
    </row>
    <row r="74" spans="1:15">
      <c r="A74" s="409" t="b">
        <f>AND(IF(C74=SUMMARY!$B$12,TRUE,FALSE),IF(D74=SUMMARY!$B$28,TRUE,FALSE),IF(E74=SUMMARY!$B$9,TRUE,FALSE))</f>
        <v>0</v>
      </c>
      <c r="B74" s="149" t="s">
        <v>407</v>
      </c>
      <c r="C74" s="424" t="str">
        <f t="shared" si="19"/>
        <v>100% Oil Sands GREET</v>
      </c>
      <c r="D74" s="425" t="str">
        <f>Valuation!$B$7</f>
        <v>High</v>
      </c>
      <c r="E74" s="426" t="s">
        <v>96</v>
      </c>
      <c r="F74" s="428"/>
      <c r="G74" s="429">
        <v>90.718474076075665</v>
      </c>
      <c r="H74" s="796">
        <f t="shared" ref="H74:N76" si="25">H62</f>
        <v>103.38211018360229</v>
      </c>
      <c r="I74" s="796">
        <f t="shared" si="25"/>
        <v>1489.1515537475525</v>
      </c>
      <c r="J74" s="796">
        <f t="shared" si="25"/>
        <v>2376.9948618235626</v>
      </c>
      <c r="K74" s="796">
        <f t="shared" si="25"/>
        <v>1159.1647473311421</v>
      </c>
      <c r="L74" s="796">
        <f t="shared" si="25"/>
        <v>9032.4148084809203</v>
      </c>
      <c r="M74" s="796">
        <f t="shared" si="25"/>
        <v>2606.3795444501061</v>
      </c>
      <c r="N74" s="796">
        <f t="shared" si="25"/>
        <v>866.7919618823471</v>
      </c>
    </row>
    <row r="75" spans="1:15">
      <c r="A75" s="409" t="b">
        <f>AND(IF(C75=SUMMARY!$B$12,TRUE,FALSE),IF(D75=SUMMARY!$B$28,TRUE,FALSE),IF(E75=SUMMARY!$B$9,TRUE,FALSE))</f>
        <v>0</v>
      </c>
      <c r="B75" s="149" t="s">
        <v>407</v>
      </c>
      <c r="C75" s="424" t="str">
        <f t="shared" si="19"/>
        <v>100% Oil Sands GREET</v>
      </c>
      <c r="D75" s="425" t="str">
        <f>Valuation!$B$7</f>
        <v>High</v>
      </c>
      <c r="E75" s="426" t="s">
        <v>50</v>
      </c>
      <c r="F75" s="424"/>
      <c r="G75" s="429">
        <v>90.718474076075665</v>
      </c>
      <c r="H75" s="796">
        <f t="shared" si="25"/>
        <v>3033.5681543234641</v>
      </c>
      <c r="I75" s="796">
        <f t="shared" si="25"/>
        <v>228245.4400290967</v>
      </c>
      <c r="J75" s="796">
        <f t="shared" si="25"/>
        <v>528.68513287775295</v>
      </c>
      <c r="K75" s="796">
        <f t="shared" si="25"/>
        <v>31362.72514395574</v>
      </c>
      <c r="L75" s="796">
        <f t="shared" si="25"/>
        <v>186841.95483760393</v>
      </c>
      <c r="M75" s="796">
        <f t="shared" si="25"/>
        <v>114729.07210305227</v>
      </c>
      <c r="N75" s="796">
        <f t="shared" si="25"/>
        <v>17322.46077525958</v>
      </c>
    </row>
    <row r="76" spans="1:15">
      <c r="A76" s="409" t="b">
        <f>AND(IF(C76=SUMMARY!$B$12,TRUE,FALSE),IF(D76=SUMMARY!$B$28,TRUE,FALSE),IF(E76=SUMMARY!$B$9,TRUE,FALSE))</f>
        <v>0</v>
      </c>
      <c r="B76" s="430" t="s">
        <v>407</v>
      </c>
      <c r="C76" s="431" t="str">
        <f t="shared" si="19"/>
        <v>100% Oil Sands GREET</v>
      </c>
      <c r="D76" s="432" t="str">
        <f>Valuation!$B$7</f>
        <v>High</v>
      </c>
      <c r="E76" s="433" t="s">
        <v>410</v>
      </c>
      <c r="F76" s="431"/>
      <c r="G76" s="367">
        <v>90.718474076075651</v>
      </c>
      <c r="H76" s="797">
        <f t="shared" si="25"/>
        <v>513.64763125180423</v>
      </c>
      <c r="I76" s="797">
        <f t="shared" si="25"/>
        <v>46213.161038072139</v>
      </c>
      <c r="J76" s="797">
        <f t="shared" si="25"/>
        <v>1589.6601327949231</v>
      </c>
      <c r="K76" s="797">
        <f t="shared" si="25"/>
        <v>5318.6934515733974</v>
      </c>
      <c r="L76" s="797">
        <f t="shared" si="25"/>
        <v>34743.189699254413</v>
      </c>
      <c r="M76" s="797">
        <f t="shared" si="25"/>
        <v>14276.098111886489</v>
      </c>
      <c r="N76" s="797">
        <f t="shared" si="25"/>
        <v>3277.5615825387722</v>
      </c>
    </row>
    <row r="77" spans="1:15">
      <c r="A77" s="410" t="s">
        <v>409</v>
      </c>
      <c r="B77" s="435" t="s">
        <v>407</v>
      </c>
      <c r="C77" s="410" t="str">
        <f>SUMMARY!B12</f>
        <v>9.4% Oil Sands GREET</v>
      </c>
      <c r="D77" s="410" t="str">
        <f>SUMMARY!B28</f>
        <v>Medium</v>
      </c>
      <c r="E77" s="436" t="str">
        <f>SUMMARY!B9</f>
        <v>Weighted Avg.</v>
      </c>
      <c r="F77" s="437">
        <f t="array" ref="F77">SUM(IF($A29:$A76,F29:F76))</f>
        <v>0</v>
      </c>
      <c r="G77" s="437">
        <f t="array" ref="G77">SUM(IF($A29:$A76,G29:G76))</f>
        <v>27.215542222822702</v>
      </c>
      <c r="H77" s="437">
        <f t="array" ref="H77">SUM(IF($A29:$A76,H29:H76))</f>
        <v>513.64763125180423</v>
      </c>
      <c r="I77" s="437">
        <f t="array" ref="I77">SUM(IF($A29:$A76,I29:I76))</f>
        <v>46213.161038072139</v>
      </c>
      <c r="J77" s="437">
        <f t="array" ref="J77">SUM(IF($A29:$A76,J29:J76))</f>
        <v>1589.6601327949231</v>
      </c>
      <c r="K77" s="437">
        <f t="array" ref="K77">SUM(IF($A29:$A76,K29:K76))</f>
        <v>5318.6934515733974</v>
      </c>
      <c r="L77" s="437">
        <f t="array" ref="L77">SUM(IF($A29:$A76,L29:L76))</f>
        <v>34743.189699254413</v>
      </c>
      <c r="M77" s="437">
        <f t="array" ref="M77">SUM(IF($A29:$A76,M29:M76))</f>
        <v>14276.098111886489</v>
      </c>
      <c r="N77" s="437">
        <f t="array" ref="N77">SUM(IF($A29:$A76,N29:N76))</f>
        <v>3277.5615825387722</v>
      </c>
    </row>
    <row r="78" spans="1:15">
      <c r="A78" s="409"/>
      <c r="B78" s="428"/>
      <c r="C78" s="424"/>
      <c r="D78" s="425"/>
      <c r="E78" s="424"/>
      <c r="F78" s="424"/>
      <c r="G78" s="424"/>
      <c r="H78" s="424"/>
      <c r="I78" s="438"/>
      <c r="J78" s="438"/>
      <c r="K78" s="438"/>
      <c r="L78" s="438"/>
      <c r="M78" s="438"/>
      <c r="N78" s="438"/>
      <c r="O78" s="438"/>
    </row>
    <row r="79" spans="1:15">
      <c r="A79" s="409"/>
      <c r="B79" s="428"/>
      <c r="C79" s="424"/>
      <c r="D79" s="425"/>
      <c r="E79" s="424"/>
      <c r="F79" s="424"/>
      <c r="G79" s="424"/>
      <c r="H79" s="424"/>
      <c r="I79" s="438"/>
      <c r="J79" s="438"/>
      <c r="K79" s="438"/>
      <c r="L79" s="438"/>
      <c r="M79" s="438"/>
      <c r="N79" s="438"/>
      <c r="O79" s="438"/>
    </row>
    <row r="80" spans="1:15" ht="15.75" thickBot="1">
      <c r="A80" s="38" t="s">
        <v>426</v>
      </c>
      <c r="B80" s="413"/>
      <c r="C80" s="413"/>
      <c r="D80" s="413"/>
      <c r="E80" s="413"/>
      <c r="F80" s="413"/>
      <c r="G80" s="413"/>
      <c r="H80" s="413"/>
      <c r="I80" s="508"/>
      <c r="J80" s="508"/>
      <c r="K80" s="508"/>
      <c r="L80" s="508"/>
      <c r="M80" s="508"/>
      <c r="N80" s="508"/>
    </row>
    <row r="81" spans="1:21" ht="15.75" thickTop="1">
      <c r="A81" s="940" t="s">
        <v>425</v>
      </c>
      <c r="B81" s="149" t="s">
        <v>417</v>
      </c>
      <c r="C81" s="143" t="s">
        <v>419</v>
      </c>
    </row>
    <row r="82" spans="1:21">
      <c r="A82" s="940"/>
      <c r="B82" s="148" t="s">
        <v>556</v>
      </c>
      <c r="C82" s="143" t="s">
        <v>420</v>
      </c>
    </row>
    <row r="83" spans="1:21">
      <c r="A83" s="940"/>
      <c r="B83" s="149" t="s">
        <v>416</v>
      </c>
      <c r="C83" s="143" t="s">
        <v>421</v>
      </c>
    </row>
    <row r="84" spans="1:21">
      <c r="A84" s="18"/>
      <c r="B84" s="149"/>
    </row>
    <row r="85" spans="1:21">
      <c r="A85" s="18"/>
      <c r="B85" s="946" t="s">
        <v>12</v>
      </c>
      <c r="C85" s="947"/>
      <c r="D85" s="947"/>
      <c r="E85" s="948"/>
      <c r="F85" s="938" t="s">
        <v>415</v>
      </c>
      <c r="G85" s="939"/>
      <c r="H85" s="939"/>
      <c r="I85" s="939"/>
      <c r="J85" s="939"/>
      <c r="K85" s="939"/>
      <c r="L85" s="939"/>
      <c r="M85" s="939"/>
      <c r="N85" s="939"/>
      <c r="O85" s="440"/>
    </row>
    <row r="86" spans="1:21">
      <c r="A86" s="462" t="s">
        <v>409</v>
      </c>
      <c r="B86" s="463" t="s">
        <v>242</v>
      </c>
      <c r="C86" s="464" t="s">
        <v>405</v>
      </c>
      <c r="D86" s="464" t="s">
        <v>54</v>
      </c>
      <c r="E86" s="465" t="s">
        <v>406</v>
      </c>
      <c r="F86" s="464" t="s">
        <v>32</v>
      </c>
      <c r="G86" s="466" t="s">
        <v>15</v>
      </c>
      <c r="H86" s="466" t="s">
        <v>2</v>
      </c>
      <c r="I86" s="466" t="s">
        <v>43</v>
      </c>
      <c r="J86" s="466" t="s">
        <v>95</v>
      </c>
      <c r="K86" s="466" t="s">
        <v>26</v>
      </c>
      <c r="L86" s="466" t="s">
        <v>27</v>
      </c>
      <c r="M86" s="466" t="s">
        <v>39</v>
      </c>
      <c r="N86" s="466" t="s">
        <v>3</v>
      </c>
    </row>
    <row r="87" spans="1:21">
      <c r="A87" s="409" t="b">
        <f>AND(IF(B87=SUMMARY!$B$11,TRUE,FALSE),IF(C87=SUMMARY!$B$12,TRUE,FALSE),IF(D87=SUMMARY!$B$28,TRUE,FALSE),IF(E87=SUMMARY!$B$10,TRUE,FALSE))</f>
        <v>0</v>
      </c>
      <c r="B87" s="149" t="s">
        <v>417</v>
      </c>
      <c r="C87" s="424" t="str">
        <f t="shared" ref="C87:C102" si="26">$D$13</f>
        <v>0% Oil Sands GREET</v>
      </c>
      <c r="D87" s="425" t="str">
        <f>Valuation!$B$8</f>
        <v>Zero</v>
      </c>
      <c r="E87" s="426" t="s">
        <v>51</v>
      </c>
      <c r="F87" s="445"/>
      <c r="G87" s="441">
        <v>0</v>
      </c>
      <c r="H87" s="800">
        <v>35.707921166958712</v>
      </c>
      <c r="I87" s="800">
        <v>759.46966379216417</v>
      </c>
      <c r="J87" s="800">
        <v>753.8418343906859</v>
      </c>
      <c r="K87" s="800">
        <v>437.66758355850732</v>
      </c>
      <c r="L87" s="800">
        <v>2224.1774875738147</v>
      </c>
      <c r="M87" s="800">
        <v>1389.5605761316194</v>
      </c>
      <c r="N87" s="800">
        <v>216.62380112928355</v>
      </c>
      <c r="P87" s="541"/>
      <c r="Q87" s="541"/>
      <c r="R87" s="541"/>
      <c r="S87" s="541"/>
      <c r="T87" s="541"/>
      <c r="U87" s="541"/>
    </row>
    <row r="88" spans="1:21">
      <c r="A88" s="409" t="b">
        <f>AND(IF(B88=SUMMARY!$B$11,TRUE,FALSE),IF(C88=SUMMARY!$B$12,TRUE,FALSE),IF(D88=SUMMARY!$B$28,TRUE,FALSE),IF(E88=SUMMARY!$B$10,TRUE,FALSE))</f>
        <v>0</v>
      </c>
      <c r="B88" s="149" t="s">
        <v>417</v>
      </c>
      <c r="C88" s="424" t="str">
        <f t="shared" si="26"/>
        <v>0% Oil Sands GREET</v>
      </c>
      <c r="D88" s="425" t="str">
        <f>Valuation!$B$8</f>
        <v>Zero</v>
      </c>
      <c r="E88" s="426" t="s">
        <v>96</v>
      </c>
      <c r="F88" s="445"/>
      <c r="G88" s="441">
        <v>0</v>
      </c>
      <c r="H88" s="800">
        <v>96.852037496853356</v>
      </c>
      <c r="I88" s="800">
        <v>15238.130868855915</v>
      </c>
      <c r="J88" s="800">
        <v>1199.8620181081151</v>
      </c>
      <c r="K88" s="800">
        <v>1042.9463988702091</v>
      </c>
      <c r="L88" s="800">
        <v>9350.608041933272</v>
      </c>
      <c r="M88" s="800">
        <v>4310.1199515044436</v>
      </c>
      <c r="N88" s="800">
        <v>893.14340428930188</v>
      </c>
      <c r="P88" s="541"/>
      <c r="Q88" s="541"/>
      <c r="R88" s="541"/>
      <c r="S88" s="541"/>
      <c r="T88" s="541"/>
      <c r="U88" s="541"/>
    </row>
    <row r="89" spans="1:21">
      <c r="A89" s="409" t="b">
        <f>AND(IF(B89=SUMMARY!$B$11,TRUE,FALSE),IF(C89=SUMMARY!$B$12,TRUE,FALSE),IF(D89=SUMMARY!$B$28,TRUE,FALSE),IF(E89=SUMMARY!$B$10,TRUE,FALSE))</f>
        <v>0</v>
      </c>
      <c r="B89" s="149" t="s">
        <v>417</v>
      </c>
      <c r="C89" s="424" t="str">
        <f t="shared" si="26"/>
        <v>0% Oil Sands GREET</v>
      </c>
      <c r="D89" s="425" t="str">
        <f>Valuation!$B$8</f>
        <v>Zero</v>
      </c>
      <c r="E89" s="426" t="s">
        <v>50</v>
      </c>
      <c r="F89" s="445"/>
      <c r="G89" s="441">
        <v>0</v>
      </c>
      <c r="H89" s="800">
        <v>3033.5681543234641</v>
      </c>
      <c r="I89" s="800">
        <v>228245.4400290967</v>
      </c>
      <c r="J89" s="800">
        <v>528.68513287775295</v>
      </c>
      <c r="K89" s="800">
        <v>31362.72514395574</v>
      </c>
      <c r="L89" s="800">
        <v>186841.95483760393</v>
      </c>
      <c r="M89" s="800">
        <v>114729.07210305227</v>
      </c>
      <c r="N89" s="800">
        <v>17322.46077525958</v>
      </c>
      <c r="P89" s="541"/>
      <c r="Q89" s="541"/>
      <c r="R89" s="541"/>
      <c r="S89" s="541"/>
      <c r="T89" s="541"/>
      <c r="U89" s="541"/>
    </row>
    <row r="90" spans="1:21">
      <c r="A90" s="409" t="b">
        <f>AND(IF(B90=SUMMARY!$B$11,TRUE,FALSE),IF(C90=SUMMARY!$B$12,TRUE,FALSE),IF(D90=SUMMARY!$B$28,TRUE,FALSE),IF(E90=SUMMARY!$B$10,TRUE,FALSE))</f>
        <v>0</v>
      </c>
      <c r="B90" s="149" t="s">
        <v>417</v>
      </c>
      <c r="C90" s="424" t="str">
        <f t="shared" si="26"/>
        <v>0% Oil Sands GREET</v>
      </c>
      <c r="D90" s="425" t="str">
        <f>Valuation!$B$8</f>
        <v>Zero</v>
      </c>
      <c r="E90" s="235" t="s">
        <v>410</v>
      </c>
      <c r="F90" s="445"/>
      <c r="G90" s="441">
        <v>0</v>
      </c>
      <c r="H90" s="800">
        <v>513.64763125180423</v>
      </c>
      <c r="I90" s="800">
        <v>46213.161038072139</v>
      </c>
      <c r="J90" s="800">
        <v>1589.6601327949231</v>
      </c>
      <c r="K90" s="800">
        <v>5318.6934515733974</v>
      </c>
      <c r="L90" s="800">
        <v>34743.189699254413</v>
      </c>
      <c r="M90" s="800">
        <v>14276.098111886489</v>
      </c>
      <c r="N90" s="800">
        <v>3277.5615825387722</v>
      </c>
      <c r="P90" s="541"/>
      <c r="Q90" s="541"/>
      <c r="R90" s="541"/>
      <c r="S90" s="541"/>
      <c r="T90" s="541"/>
      <c r="U90" s="541"/>
    </row>
    <row r="91" spans="1:21">
      <c r="A91" s="409" t="b">
        <f>AND(IF(B91=SUMMARY!$B$11,TRUE,FALSE),IF(C91=SUMMARY!$B$12,TRUE,FALSE),IF(D91=SUMMARY!$B$28,TRUE,FALSE),IF(E91=SUMMARY!$B$10,TRUE,FALSE))</f>
        <v>0</v>
      </c>
      <c r="B91" s="149" t="s">
        <v>417</v>
      </c>
      <c r="C91" s="424" t="str">
        <f t="shared" si="26"/>
        <v>0% Oil Sands GREET</v>
      </c>
      <c r="D91" s="425" t="str">
        <f>Valuation!$B$5</f>
        <v>Low</v>
      </c>
      <c r="E91" s="426" t="s">
        <v>51</v>
      </c>
      <c r="F91" s="445"/>
      <c r="G91" s="138">
        <v>9.0718474076075672</v>
      </c>
      <c r="H91" s="796">
        <f>H87</f>
        <v>35.707921166958712</v>
      </c>
      <c r="I91" s="796">
        <f t="shared" ref="I91:N91" si="27">I87</f>
        <v>759.46966379216417</v>
      </c>
      <c r="J91" s="796">
        <f t="shared" si="27"/>
        <v>753.8418343906859</v>
      </c>
      <c r="K91" s="796">
        <f t="shared" si="27"/>
        <v>437.66758355850732</v>
      </c>
      <c r="L91" s="796">
        <f t="shared" si="27"/>
        <v>2224.1774875738147</v>
      </c>
      <c r="M91" s="796">
        <f t="shared" si="27"/>
        <v>1389.5605761316194</v>
      </c>
      <c r="N91" s="796">
        <f t="shared" si="27"/>
        <v>216.62380112928355</v>
      </c>
    </row>
    <row r="92" spans="1:21">
      <c r="A92" s="409" t="b">
        <f>AND(IF(B92=SUMMARY!$B$11,TRUE,FALSE),IF(C92=SUMMARY!$B$12,TRUE,FALSE),IF(D92=SUMMARY!$B$28,TRUE,FALSE),IF(E92=SUMMARY!$B$10,TRUE,FALSE))</f>
        <v>0</v>
      </c>
      <c r="B92" s="149" t="s">
        <v>417</v>
      </c>
      <c r="C92" s="424" t="str">
        <f t="shared" si="26"/>
        <v>0% Oil Sands GREET</v>
      </c>
      <c r="D92" s="425" t="str">
        <f>Valuation!$B$5</f>
        <v>Low</v>
      </c>
      <c r="E92" s="426" t="s">
        <v>96</v>
      </c>
      <c r="F92" s="445"/>
      <c r="G92" s="138">
        <v>9.0718474076075672</v>
      </c>
      <c r="H92" s="796">
        <f t="shared" ref="H92:N94" si="28">H88</f>
        <v>96.852037496853356</v>
      </c>
      <c r="I92" s="796">
        <f t="shared" si="28"/>
        <v>15238.130868855915</v>
      </c>
      <c r="J92" s="796">
        <f t="shared" si="28"/>
        <v>1199.8620181081151</v>
      </c>
      <c r="K92" s="796">
        <f t="shared" si="28"/>
        <v>1042.9463988702091</v>
      </c>
      <c r="L92" s="796">
        <f t="shared" si="28"/>
        <v>9350.608041933272</v>
      </c>
      <c r="M92" s="796">
        <f t="shared" si="28"/>
        <v>4310.1199515044436</v>
      </c>
      <c r="N92" s="796">
        <f t="shared" si="28"/>
        <v>893.14340428930188</v>
      </c>
    </row>
    <row r="93" spans="1:21">
      <c r="A93" s="409" t="b">
        <f>AND(IF(B93=SUMMARY!$B$11,TRUE,FALSE),IF(C93=SUMMARY!$B$12,TRUE,FALSE),IF(D93=SUMMARY!$B$28,TRUE,FALSE),IF(E93=SUMMARY!$B$10,TRUE,FALSE))</f>
        <v>0</v>
      </c>
      <c r="B93" s="149" t="s">
        <v>417</v>
      </c>
      <c r="C93" s="424" t="str">
        <f t="shared" si="26"/>
        <v>0% Oil Sands GREET</v>
      </c>
      <c r="D93" s="425" t="str">
        <f>Valuation!$B$5</f>
        <v>Low</v>
      </c>
      <c r="E93" s="426" t="s">
        <v>50</v>
      </c>
      <c r="F93" s="445"/>
      <c r="G93" s="138">
        <v>9.0718474076075672</v>
      </c>
      <c r="H93" s="796">
        <f t="shared" si="28"/>
        <v>3033.5681543234641</v>
      </c>
      <c r="I93" s="796">
        <f t="shared" si="28"/>
        <v>228245.4400290967</v>
      </c>
      <c r="J93" s="796">
        <f t="shared" si="28"/>
        <v>528.68513287775295</v>
      </c>
      <c r="K93" s="796">
        <f t="shared" si="28"/>
        <v>31362.72514395574</v>
      </c>
      <c r="L93" s="796">
        <f t="shared" si="28"/>
        <v>186841.95483760393</v>
      </c>
      <c r="M93" s="796">
        <f t="shared" si="28"/>
        <v>114729.07210305227</v>
      </c>
      <c r="N93" s="796">
        <f t="shared" si="28"/>
        <v>17322.46077525958</v>
      </c>
    </row>
    <row r="94" spans="1:21">
      <c r="A94" s="409" t="b">
        <f>AND(IF(B94=SUMMARY!$B$11,TRUE,FALSE),IF(C94=SUMMARY!$B$12,TRUE,FALSE),IF(D94=SUMMARY!$B$28,TRUE,FALSE),IF(E94=SUMMARY!$B$10,TRUE,FALSE))</f>
        <v>0</v>
      </c>
      <c r="B94" s="149" t="s">
        <v>417</v>
      </c>
      <c r="C94" s="424" t="str">
        <f t="shared" si="26"/>
        <v>0% Oil Sands GREET</v>
      </c>
      <c r="D94" s="425" t="str">
        <f>Valuation!$B$5</f>
        <v>Low</v>
      </c>
      <c r="E94" s="235" t="s">
        <v>410</v>
      </c>
      <c r="F94" s="445"/>
      <c r="G94" s="138">
        <v>9.0718474076075655</v>
      </c>
      <c r="H94" s="796">
        <f t="shared" si="28"/>
        <v>513.64763125180423</v>
      </c>
      <c r="I94" s="796">
        <f t="shared" si="28"/>
        <v>46213.161038072139</v>
      </c>
      <c r="J94" s="796">
        <f t="shared" si="28"/>
        <v>1589.6601327949231</v>
      </c>
      <c r="K94" s="796">
        <f t="shared" si="28"/>
        <v>5318.6934515733974</v>
      </c>
      <c r="L94" s="796">
        <f t="shared" si="28"/>
        <v>34743.189699254413</v>
      </c>
      <c r="M94" s="796">
        <f t="shared" si="28"/>
        <v>14276.098111886489</v>
      </c>
      <c r="N94" s="796">
        <f t="shared" si="28"/>
        <v>3277.5615825387722</v>
      </c>
    </row>
    <row r="95" spans="1:21">
      <c r="A95" s="409" t="b">
        <f>AND(IF(B95=SUMMARY!$B$11,TRUE,FALSE),IF(C95=SUMMARY!$B$12,TRUE,FALSE),IF(D95=SUMMARY!$B$28,TRUE,FALSE),IF(E95=SUMMARY!$B$10,TRUE,FALSE))</f>
        <v>0</v>
      </c>
      <c r="B95" s="149" t="s">
        <v>417</v>
      </c>
      <c r="C95" s="424" t="str">
        <f t="shared" si="26"/>
        <v>0% Oil Sands GREET</v>
      </c>
      <c r="D95" s="425" t="str">
        <f>Valuation!$B$6</f>
        <v>Medium</v>
      </c>
      <c r="E95" s="426" t="s">
        <v>51</v>
      </c>
      <c r="F95" s="445"/>
      <c r="G95" s="138">
        <v>27.215542222822698</v>
      </c>
      <c r="H95" s="796">
        <f>H87</f>
        <v>35.707921166958712</v>
      </c>
      <c r="I95" s="796">
        <f t="shared" ref="I95:N95" si="29">I87</f>
        <v>759.46966379216417</v>
      </c>
      <c r="J95" s="796">
        <f t="shared" si="29"/>
        <v>753.8418343906859</v>
      </c>
      <c r="K95" s="796">
        <f t="shared" si="29"/>
        <v>437.66758355850732</v>
      </c>
      <c r="L95" s="796">
        <f t="shared" si="29"/>
        <v>2224.1774875738147</v>
      </c>
      <c r="M95" s="796">
        <f t="shared" si="29"/>
        <v>1389.5605761316194</v>
      </c>
      <c r="N95" s="796">
        <f t="shared" si="29"/>
        <v>216.62380112928355</v>
      </c>
    </row>
    <row r="96" spans="1:21">
      <c r="A96" s="409" t="b">
        <f>AND(IF(B96=SUMMARY!$B$11,TRUE,FALSE),IF(C96=SUMMARY!$B$12,TRUE,FALSE),IF(D96=SUMMARY!$B$28,TRUE,FALSE),IF(E96=SUMMARY!$B$10,TRUE,FALSE))</f>
        <v>0</v>
      </c>
      <c r="B96" s="149" t="s">
        <v>417</v>
      </c>
      <c r="C96" s="424" t="str">
        <f t="shared" si="26"/>
        <v>0% Oil Sands GREET</v>
      </c>
      <c r="D96" s="425" t="str">
        <f>Valuation!$B$6</f>
        <v>Medium</v>
      </c>
      <c r="E96" s="426" t="s">
        <v>96</v>
      </c>
      <c r="F96" s="445"/>
      <c r="G96" s="138">
        <v>27.215542222822698</v>
      </c>
      <c r="H96" s="796">
        <f t="shared" ref="H96:N98" si="30">H88</f>
        <v>96.852037496853356</v>
      </c>
      <c r="I96" s="796">
        <f t="shared" si="30"/>
        <v>15238.130868855915</v>
      </c>
      <c r="J96" s="796">
        <f t="shared" si="30"/>
        <v>1199.8620181081151</v>
      </c>
      <c r="K96" s="796">
        <f t="shared" si="30"/>
        <v>1042.9463988702091</v>
      </c>
      <c r="L96" s="796">
        <f t="shared" si="30"/>
        <v>9350.608041933272</v>
      </c>
      <c r="M96" s="796">
        <f t="shared" si="30"/>
        <v>4310.1199515044436</v>
      </c>
      <c r="N96" s="796">
        <f t="shared" si="30"/>
        <v>893.14340428930188</v>
      </c>
    </row>
    <row r="97" spans="1:21">
      <c r="A97" s="409" t="b">
        <f>AND(IF(B97=SUMMARY!$B$11,TRUE,FALSE),IF(C97=SUMMARY!$B$12,TRUE,FALSE),IF(D97=SUMMARY!$B$28,TRUE,FALSE),IF(E97=SUMMARY!$B$10,TRUE,FALSE))</f>
        <v>0</v>
      </c>
      <c r="B97" s="149" t="s">
        <v>417</v>
      </c>
      <c r="C97" s="424" t="str">
        <f t="shared" si="26"/>
        <v>0% Oil Sands GREET</v>
      </c>
      <c r="D97" s="425" t="str">
        <f>Valuation!$B$6</f>
        <v>Medium</v>
      </c>
      <c r="E97" s="426" t="s">
        <v>50</v>
      </c>
      <c r="F97" s="445"/>
      <c r="G97" s="138">
        <v>27.215542222822698</v>
      </c>
      <c r="H97" s="796">
        <f t="shared" si="30"/>
        <v>3033.5681543234641</v>
      </c>
      <c r="I97" s="796">
        <f t="shared" si="30"/>
        <v>228245.4400290967</v>
      </c>
      <c r="J97" s="796">
        <f t="shared" si="30"/>
        <v>528.68513287775295</v>
      </c>
      <c r="K97" s="796">
        <f t="shared" si="30"/>
        <v>31362.72514395574</v>
      </c>
      <c r="L97" s="796">
        <f t="shared" si="30"/>
        <v>186841.95483760393</v>
      </c>
      <c r="M97" s="796">
        <f t="shared" si="30"/>
        <v>114729.07210305227</v>
      </c>
      <c r="N97" s="796">
        <f t="shared" si="30"/>
        <v>17322.46077525958</v>
      </c>
    </row>
    <row r="98" spans="1:21">
      <c r="A98" s="409" t="b">
        <f>AND(IF(B98=SUMMARY!$B$11,TRUE,FALSE),IF(C98=SUMMARY!$B$12,TRUE,FALSE),IF(D98=SUMMARY!$B$28,TRUE,FALSE),IF(E98=SUMMARY!$B$10,TRUE,FALSE))</f>
        <v>0</v>
      </c>
      <c r="B98" s="149" t="s">
        <v>417</v>
      </c>
      <c r="C98" s="424" t="str">
        <f t="shared" si="26"/>
        <v>0% Oil Sands GREET</v>
      </c>
      <c r="D98" s="425" t="str">
        <f>Valuation!$B$6</f>
        <v>Medium</v>
      </c>
      <c r="E98" s="235" t="s">
        <v>410</v>
      </c>
      <c r="F98" s="445"/>
      <c r="G98" s="138">
        <v>27.215542222822702</v>
      </c>
      <c r="H98" s="796">
        <f t="shared" si="30"/>
        <v>513.64763125180423</v>
      </c>
      <c r="I98" s="796">
        <f t="shared" si="30"/>
        <v>46213.161038072139</v>
      </c>
      <c r="J98" s="796">
        <f t="shared" si="30"/>
        <v>1589.6601327949231</v>
      </c>
      <c r="K98" s="796">
        <f t="shared" si="30"/>
        <v>5318.6934515733974</v>
      </c>
      <c r="L98" s="796">
        <f t="shared" si="30"/>
        <v>34743.189699254413</v>
      </c>
      <c r="M98" s="796">
        <f t="shared" si="30"/>
        <v>14276.098111886489</v>
      </c>
      <c r="N98" s="796">
        <f t="shared" si="30"/>
        <v>3277.5615825387722</v>
      </c>
    </row>
    <row r="99" spans="1:21">
      <c r="A99" s="409" t="b">
        <f>AND(IF(B99=SUMMARY!$B$11,TRUE,FALSE),IF(C99=SUMMARY!$B$12,TRUE,FALSE),IF(D99=SUMMARY!$B$28,TRUE,FALSE),IF(E99=SUMMARY!$B$10,TRUE,FALSE))</f>
        <v>0</v>
      </c>
      <c r="B99" s="149" t="s">
        <v>417</v>
      </c>
      <c r="C99" s="424" t="str">
        <f t="shared" si="26"/>
        <v>0% Oil Sands GREET</v>
      </c>
      <c r="D99" s="425" t="str">
        <f>Valuation!$B$7</f>
        <v>High</v>
      </c>
      <c r="E99" s="426" t="s">
        <v>51</v>
      </c>
      <c r="F99" s="445"/>
      <c r="G99" s="138">
        <v>90.718474076075665</v>
      </c>
      <c r="H99" s="796">
        <f>H87</f>
        <v>35.707921166958712</v>
      </c>
      <c r="I99" s="796">
        <f t="shared" ref="I99:N99" si="31">I87</f>
        <v>759.46966379216417</v>
      </c>
      <c r="J99" s="796">
        <f t="shared" si="31"/>
        <v>753.8418343906859</v>
      </c>
      <c r="K99" s="796">
        <f t="shared" si="31"/>
        <v>437.66758355850732</v>
      </c>
      <c r="L99" s="796">
        <f t="shared" si="31"/>
        <v>2224.1774875738147</v>
      </c>
      <c r="M99" s="796">
        <f t="shared" si="31"/>
        <v>1389.5605761316194</v>
      </c>
      <c r="N99" s="796">
        <f t="shared" si="31"/>
        <v>216.62380112928355</v>
      </c>
    </row>
    <row r="100" spans="1:21">
      <c r="A100" s="409" t="b">
        <f>AND(IF(B100=SUMMARY!$B$11,TRUE,FALSE),IF(C100=SUMMARY!$B$12,TRUE,FALSE),IF(D100=SUMMARY!$B$28,TRUE,FALSE),IF(E100=SUMMARY!$B$10,TRUE,FALSE))</f>
        <v>0</v>
      </c>
      <c r="B100" s="149" t="s">
        <v>417</v>
      </c>
      <c r="C100" s="424" t="str">
        <f t="shared" si="26"/>
        <v>0% Oil Sands GREET</v>
      </c>
      <c r="D100" s="425" t="str">
        <f>Valuation!$B$7</f>
        <v>High</v>
      </c>
      <c r="E100" s="426" t="s">
        <v>96</v>
      </c>
      <c r="F100" s="445"/>
      <c r="G100" s="138">
        <v>90.718474076075665</v>
      </c>
      <c r="H100" s="796">
        <f t="shared" ref="H100:N102" si="32">H88</f>
        <v>96.852037496853356</v>
      </c>
      <c r="I100" s="796">
        <f t="shared" si="32"/>
        <v>15238.130868855915</v>
      </c>
      <c r="J100" s="796">
        <f t="shared" si="32"/>
        <v>1199.8620181081151</v>
      </c>
      <c r="K100" s="796">
        <f t="shared" si="32"/>
        <v>1042.9463988702091</v>
      </c>
      <c r="L100" s="796">
        <f t="shared" si="32"/>
        <v>9350.608041933272</v>
      </c>
      <c r="M100" s="796">
        <f t="shared" si="32"/>
        <v>4310.1199515044436</v>
      </c>
      <c r="N100" s="796">
        <f t="shared" si="32"/>
        <v>893.14340428930188</v>
      </c>
    </row>
    <row r="101" spans="1:21">
      <c r="A101" s="409" t="b">
        <f>AND(IF(B101=SUMMARY!$B$11,TRUE,FALSE),IF(C101=SUMMARY!$B$12,TRUE,FALSE),IF(D101=SUMMARY!$B$28,TRUE,FALSE),IF(E101=SUMMARY!$B$10,TRUE,FALSE))</f>
        <v>0</v>
      </c>
      <c r="B101" s="149" t="s">
        <v>417</v>
      </c>
      <c r="C101" s="424" t="str">
        <f t="shared" si="26"/>
        <v>0% Oil Sands GREET</v>
      </c>
      <c r="D101" s="425" t="str">
        <f>Valuation!$B$7</f>
        <v>High</v>
      </c>
      <c r="E101" s="426" t="s">
        <v>50</v>
      </c>
      <c r="F101" s="445"/>
      <c r="G101" s="138">
        <v>90.718474076075665</v>
      </c>
      <c r="H101" s="796">
        <f t="shared" si="32"/>
        <v>3033.5681543234641</v>
      </c>
      <c r="I101" s="796">
        <f t="shared" si="32"/>
        <v>228245.4400290967</v>
      </c>
      <c r="J101" s="796">
        <f t="shared" si="32"/>
        <v>528.68513287775295</v>
      </c>
      <c r="K101" s="796">
        <f t="shared" si="32"/>
        <v>31362.72514395574</v>
      </c>
      <c r="L101" s="796">
        <f t="shared" si="32"/>
        <v>186841.95483760393</v>
      </c>
      <c r="M101" s="796">
        <f t="shared" si="32"/>
        <v>114729.07210305227</v>
      </c>
      <c r="N101" s="796">
        <f t="shared" si="32"/>
        <v>17322.46077525958</v>
      </c>
    </row>
    <row r="102" spans="1:21">
      <c r="A102" s="411" t="b">
        <f>AND(IF(B102=SUMMARY!$B$11,TRUE,FALSE),IF(C102=SUMMARY!$B$12,TRUE,FALSE),IF(D102=SUMMARY!$B$28,TRUE,FALSE),IF(E102=SUMMARY!$B$10,TRUE,FALSE))</f>
        <v>0</v>
      </c>
      <c r="B102" s="430" t="s">
        <v>417</v>
      </c>
      <c r="C102" s="431" t="str">
        <f t="shared" si="26"/>
        <v>0% Oil Sands GREET</v>
      </c>
      <c r="D102" s="432" t="str">
        <f>Valuation!$B$7</f>
        <v>High</v>
      </c>
      <c r="E102" s="433" t="s">
        <v>410</v>
      </c>
      <c r="F102" s="446"/>
      <c r="G102" s="367">
        <v>90.718474076075651</v>
      </c>
      <c r="H102" s="797">
        <f t="shared" si="32"/>
        <v>513.64763125180423</v>
      </c>
      <c r="I102" s="797">
        <f t="shared" si="32"/>
        <v>46213.161038072139</v>
      </c>
      <c r="J102" s="797">
        <f t="shared" si="32"/>
        <v>1589.6601327949231</v>
      </c>
      <c r="K102" s="797">
        <f t="shared" si="32"/>
        <v>5318.6934515733974</v>
      </c>
      <c r="L102" s="797">
        <f t="shared" si="32"/>
        <v>34743.189699254413</v>
      </c>
      <c r="M102" s="797">
        <f t="shared" si="32"/>
        <v>14276.098111886489</v>
      </c>
      <c r="N102" s="797">
        <f t="shared" si="32"/>
        <v>3277.5615825387722</v>
      </c>
    </row>
    <row r="103" spans="1:21">
      <c r="A103" s="409" t="b">
        <f>AND(IF(B103=SUMMARY!$B$11,TRUE,FALSE),IF(C103=SUMMARY!$B$12,TRUE,FALSE),IF(D103=SUMMARY!$B$28,TRUE,FALSE),IF(E103=SUMMARY!$B$10,TRUE,FALSE))</f>
        <v>0</v>
      </c>
      <c r="B103" s="149" t="s">
        <v>417</v>
      </c>
      <c r="C103" s="424" t="str">
        <f t="shared" ref="C103:C118" si="33">$D$14</f>
        <v>9.4% Oil Sands GREET</v>
      </c>
      <c r="D103" s="425" t="str">
        <f>Valuation!$B$8</f>
        <v>Zero</v>
      </c>
      <c r="E103" s="426" t="s">
        <v>51</v>
      </c>
      <c r="F103" s="445"/>
      <c r="G103" s="138">
        <v>0</v>
      </c>
      <c r="H103" s="801">
        <v>35.707921166958712</v>
      </c>
      <c r="I103" s="801">
        <v>759.46966379216417</v>
      </c>
      <c r="J103" s="801">
        <v>753.8418343906859</v>
      </c>
      <c r="K103" s="801">
        <v>437.66758355850732</v>
      </c>
      <c r="L103" s="801">
        <v>2224.1774875738147</v>
      </c>
      <c r="M103" s="801">
        <v>1389.5605761316194</v>
      </c>
      <c r="N103" s="801">
        <v>216.62380112928355</v>
      </c>
      <c r="P103" s="541"/>
      <c r="Q103" s="541"/>
      <c r="R103" s="541"/>
      <c r="S103" s="541"/>
      <c r="T103" s="541"/>
      <c r="U103" s="541"/>
    </row>
    <row r="104" spans="1:21">
      <c r="A104" s="409" t="b">
        <f>AND(IF(B104=SUMMARY!$B$11,TRUE,FALSE),IF(C104=SUMMARY!$B$12,TRUE,FALSE),IF(D104=SUMMARY!$B$28,TRUE,FALSE),IF(E104=SUMMARY!$B$10,TRUE,FALSE))</f>
        <v>0</v>
      </c>
      <c r="B104" s="149" t="s">
        <v>417</v>
      </c>
      <c r="C104" s="424" t="str">
        <f t="shared" si="33"/>
        <v>9.4% Oil Sands GREET</v>
      </c>
      <c r="D104" s="425" t="str">
        <f>Valuation!$B$8</f>
        <v>Zero</v>
      </c>
      <c r="E104" s="426" t="s">
        <v>96</v>
      </c>
      <c r="F104" s="445"/>
      <c r="G104" s="138">
        <v>0</v>
      </c>
      <c r="H104" s="801">
        <v>96.852037496853356</v>
      </c>
      <c r="I104" s="801">
        <v>15238.130868855915</v>
      </c>
      <c r="J104" s="801">
        <v>1199.8620181081151</v>
      </c>
      <c r="K104" s="801">
        <v>1042.9463988702091</v>
      </c>
      <c r="L104" s="801">
        <v>9350.608041933272</v>
      </c>
      <c r="M104" s="801">
        <v>4310.1199515044436</v>
      </c>
      <c r="N104" s="801">
        <v>893.14340428930188</v>
      </c>
      <c r="P104" s="541"/>
      <c r="Q104" s="541"/>
      <c r="R104" s="541"/>
      <c r="S104" s="541"/>
      <c r="T104" s="541"/>
      <c r="U104" s="541"/>
    </row>
    <row r="105" spans="1:21">
      <c r="A105" s="409" t="b">
        <f>AND(IF(B105=SUMMARY!$B$11,TRUE,FALSE),IF(C105=SUMMARY!$B$12,TRUE,FALSE),IF(D105=SUMMARY!$B$28,TRUE,FALSE),IF(E105=SUMMARY!$B$10,TRUE,FALSE))</f>
        <v>0</v>
      </c>
      <c r="B105" s="149" t="s">
        <v>417</v>
      </c>
      <c r="C105" s="424" t="str">
        <f t="shared" si="33"/>
        <v>9.4% Oil Sands GREET</v>
      </c>
      <c r="D105" s="425" t="str">
        <f>Valuation!$B$8</f>
        <v>Zero</v>
      </c>
      <c r="E105" s="426" t="s">
        <v>50</v>
      </c>
      <c r="F105" s="445"/>
      <c r="G105" s="138">
        <v>0</v>
      </c>
      <c r="H105" s="801">
        <v>3033.5681543234641</v>
      </c>
      <c r="I105" s="801">
        <v>228245.4400290967</v>
      </c>
      <c r="J105" s="801">
        <v>528.68513287775295</v>
      </c>
      <c r="K105" s="801">
        <v>31362.72514395574</v>
      </c>
      <c r="L105" s="801">
        <v>186841.95483760393</v>
      </c>
      <c r="M105" s="801">
        <v>114729.07210305227</v>
      </c>
      <c r="N105" s="801">
        <v>17322.46077525958</v>
      </c>
      <c r="P105" s="541"/>
      <c r="Q105" s="541"/>
      <c r="R105" s="541"/>
      <c r="S105" s="541"/>
      <c r="T105" s="541"/>
      <c r="U105" s="541"/>
    </row>
    <row r="106" spans="1:21">
      <c r="A106" s="409" t="b">
        <f>AND(IF(B106=SUMMARY!$B$11,TRUE,FALSE),IF(C106=SUMMARY!$B$12,TRUE,FALSE),IF(D106=SUMMARY!$B$28,TRUE,FALSE),IF(E106=SUMMARY!$B$10,TRUE,FALSE))</f>
        <v>0</v>
      </c>
      <c r="B106" s="149" t="s">
        <v>417</v>
      </c>
      <c r="C106" s="424" t="str">
        <f t="shared" si="33"/>
        <v>9.4% Oil Sands GREET</v>
      </c>
      <c r="D106" s="425" t="str">
        <f>Valuation!$B$8</f>
        <v>Zero</v>
      </c>
      <c r="E106" s="439" t="s">
        <v>410</v>
      </c>
      <c r="F106" s="445"/>
      <c r="G106" s="138">
        <v>0</v>
      </c>
      <c r="H106" s="801">
        <v>513.64763125180423</v>
      </c>
      <c r="I106" s="801">
        <v>46213.161038072139</v>
      </c>
      <c r="J106" s="801">
        <v>1589.6601327949231</v>
      </c>
      <c r="K106" s="801">
        <v>5318.6934515733974</v>
      </c>
      <c r="L106" s="801">
        <v>34743.189699254413</v>
      </c>
      <c r="M106" s="801">
        <v>14276.098111886489</v>
      </c>
      <c r="N106" s="801">
        <v>3277.5615825387722</v>
      </c>
      <c r="P106" s="541"/>
      <c r="Q106" s="541"/>
      <c r="R106" s="541"/>
      <c r="S106" s="541"/>
      <c r="T106" s="541"/>
      <c r="U106" s="541"/>
    </row>
    <row r="107" spans="1:21">
      <c r="A107" s="409" t="b">
        <f>AND(IF(B107=SUMMARY!$B$11,TRUE,FALSE),IF(C107=SUMMARY!$B$12,TRUE,FALSE),IF(D107=SUMMARY!$B$28,TRUE,FALSE),IF(E107=SUMMARY!$B$10,TRUE,FALSE))</f>
        <v>0</v>
      </c>
      <c r="B107" s="149" t="s">
        <v>417</v>
      </c>
      <c r="C107" s="424" t="str">
        <f t="shared" si="33"/>
        <v>9.4% Oil Sands GREET</v>
      </c>
      <c r="D107" s="425" t="str">
        <f>Valuation!$B$5</f>
        <v>Low</v>
      </c>
      <c r="E107" s="426" t="s">
        <v>51</v>
      </c>
      <c r="F107" s="445"/>
      <c r="G107" s="138">
        <v>9.0718474076075672</v>
      </c>
      <c r="H107" s="796">
        <f>H103</f>
        <v>35.707921166958712</v>
      </c>
      <c r="I107" s="796">
        <f t="shared" ref="I107:N107" si="34">I103</f>
        <v>759.46966379216417</v>
      </c>
      <c r="J107" s="796">
        <f t="shared" si="34"/>
        <v>753.8418343906859</v>
      </c>
      <c r="K107" s="796">
        <f t="shared" si="34"/>
        <v>437.66758355850732</v>
      </c>
      <c r="L107" s="796">
        <f t="shared" si="34"/>
        <v>2224.1774875738147</v>
      </c>
      <c r="M107" s="796">
        <f t="shared" si="34"/>
        <v>1389.5605761316194</v>
      </c>
      <c r="N107" s="796">
        <f t="shared" si="34"/>
        <v>216.62380112928355</v>
      </c>
    </row>
    <row r="108" spans="1:21">
      <c r="A108" s="409" t="b">
        <f>AND(IF(B108=SUMMARY!$B$11,TRUE,FALSE),IF(C108=SUMMARY!$B$12,TRUE,FALSE),IF(D108=SUMMARY!$B$28,TRUE,FALSE),IF(E108=SUMMARY!$B$10,TRUE,FALSE))</f>
        <v>0</v>
      </c>
      <c r="B108" s="149" t="s">
        <v>417</v>
      </c>
      <c r="C108" s="424" t="str">
        <f t="shared" si="33"/>
        <v>9.4% Oil Sands GREET</v>
      </c>
      <c r="D108" s="425" t="str">
        <f>Valuation!$B$5</f>
        <v>Low</v>
      </c>
      <c r="E108" s="426" t="s">
        <v>96</v>
      </c>
      <c r="F108" s="445"/>
      <c r="G108" s="138">
        <v>9.0718474076075672</v>
      </c>
      <c r="H108" s="796">
        <f t="shared" ref="H108:N110" si="35">H104</f>
        <v>96.852037496853356</v>
      </c>
      <c r="I108" s="796">
        <f t="shared" si="35"/>
        <v>15238.130868855915</v>
      </c>
      <c r="J108" s="796">
        <f t="shared" si="35"/>
        <v>1199.8620181081151</v>
      </c>
      <c r="K108" s="796">
        <f t="shared" si="35"/>
        <v>1042.9463988702091</v>
      </c>
      <c r="L108" s="796">
        <f t="shared" si="35"/>
        <v>9350.608041933272</v>
      </c>
      <c r="M108" s="796">
        <f t="shared" si="35"/>
        <v>4310.1199515044436</v>
      </c>
      <c r="N108" s="796">
        <f t="shared" si="35"/>
        <v>893.14340428930188</v>
      </c>
    </row>
    <row r="109" spans="1:21">
      <c r="A109" s="409" t="b">
        <f>AND(IF(B109=SUMMARY!$B$11,TRUE,FALSE),IF(C109=SUMMARY!$B$12,TRUE,FALSE),IF(D109=SUMMARY!$B$28,TRUE,FALSE),IF(E109=SUMMARY!$B$10,TRUE,FALSE))</f>
        <v>0</v>
      </c>
      <c r="B109" s="149" t="s">
        <v>417</v>
      </c>
      <c r="C109" s="424" t="str">
        <f t="shared" si="33"/>
        <v>9.4% Oil Sands GREET</v>
      </c>
      <c r="D109" s="425" t="str">
        <f>Valuation!$B$5</f>
        <v>Low</v>
      </c>
      <c r="E109" s="426" t="s">
        <v>50</v>
      </c>
      <c r="F109" s="445"/>
      <c r="G109" s="138">
        <v>9.0718474076075672</v>
      </c>
      <c r="H109" s="796">
        <f t="shared" si="35"/>
        <v>3033.5681543234641</v>
      </c>
      <c r="I109" s="796">
        <f t="shared" si="35"/>
        <v>228245.4400290967</v>
      </c>
      <c r="J109" s="796">
        <f t="shared" si="35"/>
        <v>528.68513287775295</v>
      </c>
      <c r="K109" s="796">
        <f t="shared" si="35"/>
        <v>31362.72514395574</v>
      </c>
      <c r="L109" s="796">
        <f t="shared" si="35"/>
        <v>186841.95483760393</v>
      </c>
      <c r="M109" s="796">
        <f t="shared" si="35"/>
        <v>114729.07210305227</v>
      </c>
      <c r="N109" s="796">
        <f t="shared" si="35"/>
        <v>17322.46077525958</v>
      </c>
    </row>
    <row r="110" spans="1:21">
      <c r="A110" s="409" t="b">
        <f>AND(IF(B110=SUMMARY!$B$11,TRUE,FALSE),IF(C110=SUMMARY!$B$12,TRUE,FALSE),IF(D110=SUMMARY!$B$28,TRUE,FALSE),IF(E110=SUMMARY!$B$10,TRUE,FALSE))</f>
        <v>0</v>
      </c>
      <c r="B110" s="149" t="s">
        <v>417</v>
      </c>
      <c r="C110" s="424" t="str">
        <f t="shared" si="33"/>
        <v>9.4% Oil Sands GREET</v>
      </c>
      <c r="D110" s="425" t="str">
        <f>Valuation!$B$5</f>
        <v>Low</v>
      </c>
      <c r="E110" s="439" t="s">
        <v>410</v>
      </c>
      <c r="F110" s="445"/>
      <c r="G110" s="138">
        <v>9.0718474076075655</v>
      </c>
      <c r="H110" s="796">
        <f t="shared" si="35"/>
        <v>513.64763125180423</v>
      </c>
      <c r="I110" s="796">
        <f t="shared" si="35"/>
        <v>46213.161038072139</v>
      </c>
      <c r="J110" s="796">
        <f t="shared" si="35"/>
        <v>1589.6601327949231</v>
      </c>
      <c r="K110" s="796">
        <f t="shared" si="35"/>
        <v>5318.6934515733974</v>
      </c>
      <c r="L110" s="796">
        <f t="shared" si="35"/>
        <v>34743.189699254413</v>
      </c>
      <c r="M110" s="796">
        <f t="shared" si="35"/>
        <v>14276.098111886489</v>
      </c>
      <c r="N110" s="796">
        <f t="shared" si="35"/>
        <v>3277.5615825387722</v>
      </c>
    </row>
    <row r="111" spans="1:21">
      <c r="A111" s="409" t="b">
        <f>AND(IF(B111=SUMMARY!$B$11,TRUE,FALSE),IF(C111=SUMMARY!$B$12,TRUE,FALSE),IF(D111=SUMMARY!$B$28,TRUE,FALSE),IF(E111=SUMMARY!$B$10,TRUE,FALSE))</f>
        <v>0</v>
      </c>
      <c r="B111" s="149" t="s">
        <v>417</v>
      </c>
      <c r="C111" s="424" t="str">
        <f t="shared" si="33"/>
        <v>9.4% Oil Sands GREET</v>
      </c>
      <c r="D111" s="425" t="str">
        <f>Valuation!$B$6</f>
        <v>Medium</v>
      </c>
      <c r="E111" s="426" t="s">
        <v>51</v>
      </c>
      <c r="F111" s="445"/>
      <c r="G111" s="138">
        <v>27.215542222822698</v>
      </c>
      <c r="H111" s="796">
        <f>H103</f>
        <v>35.707921166958712</v>
      </c>
      <c r="I111" s="796">
        <f t="shared" ref="I111:N111" si="36">I103</f>
        <v>759.46966379216417</v>
      </c>
      <c r="J111" s="796">
        <f t="shared" si="36"/>
        <v>753.8418343906859</v>
      </c>
      <c r="K111" s="796">
        <f t="shared" si="36"/>
        <v>437.66758355850732</v>
      </c>
      <c r="L111" s="796">
        <f t="shared" si="36"/>
        <v>2224.1774875738147</v>
      </c>
      <c r="M111" s="796">
        <f t="shared" si="36"/>
        <v>1389.5605761316194</v>
      </c>
      <c r="N111" s="796">
        <f t="shared" si="36"/>
        <v>216.62380112928355</v>
      </c>
    </row>
    <row r="112" spans="1:21">
      <c r="A112" s="409" t="b">
        <f>AND(IF(B112=SUMMARY!$B$11,TRUE,FALSE),IF(C112=SUMMARY!$B$12,TRUE,FALSE),IF(D112=SUMMARY!$B$28,TRUE,FALSE),IF(E112=SUMMARY!$B$10,TRUE,FALSE))</f>
        <v>0</v>
      </c>
      <c r="B112" s="149" t="s">
        <v>417</v>
      </c>
      <c r="C112" s="424" t="str">
        <f t="shared" si="33"/>
        <v>9.4% Oil Sands GREET</v>
      </c>
      <c r="D112" s="425" t="str">
        <f>Valuation!$B$6</f>
        <v>Medium</v>
      </c>
      <c r="E112" s="426" t="s">
        <v>96</v>
      </c>
      <c r="F112" s="445"/>
      <c r="G112" s="138">
        <v>27.215542222822698</v>
      </c>
      <c r="H112" s="796">
        <f t="shared" ref="H112:N114" si="37">H104</f>
        <v>96.852037496853356</v>
      </c>
      <c r="I112" s="796">
        <f t="shared" si="37"/>
        <v>15238.130868855915</v>
      </c>
      <c r="J112" s="796">
        <f t="shared" si="37"/>
        <v>1199.8620181081151</v>
      </c>
      <c r="K112" s="796">
        <f t="shared" si="37"/>
        <v>1042.9463988702091</v>
      </c>
      <c r="L112" s="796">
        <f t="shared" si="37"/>
        <v>9350.608041933272</v>
      </c>
      <c r="M112" s="796">
        <f t="shared" si="37"/>
        <v>4310.1199515044436</v>
      </c>
      <c r="N112" s="796">
        <f t="shared" si="37"/>
        <v>893.14340428930188</v>
      </c>
    </row>
    <row r="113" spans="1:21">
      <c r="A113" s="409" t="b">
        <f>AND(IF(B113=SUMMARY!$B$11,TRUE,FALSE),IF(C113=SUMMARY!$B$12,TRUE,FALSE),IF(D113=SUMMARY!$B$28,TRUE,FALSE),IF(E113=SUMMARY!$B$10,TRUE,FALSE))</f>
        <v>0</v>
      </c>
      <c r="B113" s="149" t="s">
        <v>417</v>
      </c>
      <c r="C113" s="424" t="str">
        <f t="shared" si="33"/>
        <v>9.4% Oil Sands GREET</v>
      </c>
      <c r="D113" s="425" t="str">
        <f>Valuation!$B$6</f>
        <v>Medium</v>
      </c>
      <c r="E113" s="426" t="s">
        <v>50</v>
      </c>
      <c r="F113" s="445"/>
      <c r="G113" s="138">
        <v>27.215542222822698</v>
      </c>
      <c r="H113" s="796">
        <f t="shared" si="37"/>
        <v>3033.5681543234641</v>
      </c>
      <c r="I113" s="796">
        <f t="shared" si="37"/>
        <v>228245.4400290967</v>
      </c>
      <c r="J113" s="796">
        <f t="shared" si="37"/>
        <v>528.68513287775295</v>
      </c>
      <c r="K113" s="796">
        <f t="shared" si="37"/>
        <v>31362.72514395574</v>
      </c>
      <c r="L113" s="796">
        <f t="shared" si="37"/>
        <v>186841.95483760393</v>
      </c>
      <c r="M113" s="796">
        <f t="shared" si="37"/>
        <v>114729.07210305227</v>
      </c>
      <c r="N113" s="796">
        <f t="shared" si="37"/>
        <v>17322.46077525958</v>
      </c>
    </row>
    <row r="114" spans="1:21">
      <c r="A114" s="409" t="b">
        <f>AND(IF(B114=SUMMARY!$B$11,TRUE,FALSE),IF(C114=SUMMARY!$B$12,TRUE,FALSE),IF(D114=SUMMARY!$B$28,TRUE,FALSE),IF(E114=SUMMARY!$B$10,TRUE,FALSE))</f>
        <v>0</v>
      </c>
      <c r="B114" s="149" t="s">
        <v>417</v>
      </c>
      <c r="C114" s="424" t="str">
        <f t="shared" si="33"/>
        <v>9.4% Oil Sands GREET</v>
      </c>
      <c r="D114" s="425" t="str">
        <f>Valuation!$B$6</f>
        <v>Medium</v>
      </c>
      <c r="E114" s="439" t="s">
        <v>410</v>
      </c>
      <c r="F114" s="445"/>
      <c r="G114" s="138">
        <v>27.215542222822702</v>
      </c>
      <c r="H114" s="796">
        <f t="shared" si="37"/>
        <v>513.64763125180423</v>
      </c>
      <c r="I114" s="796">
        <f t="shared" si="37"/>
        <v>46213.161038072139</v>
      </c>
      <c r="J114" s="796">
        <f t="shared" si="37"/>
        <v>1589.6601327949231</v>
      </c>
      <c r="K114" s="796">
        <f t="shared" si="37"/>
        <v>5318.6934515733974</v>
      </c>
      <c r="L114" s="796">
        <f t="shared" si="37"/>
        <v>34743.189699254413</v>
      </c>
      <c r="M114" s="796">
        <f t="shared" si="37"/>
        <v>14276.098111886489</v>
      </c>
      <c r="N114" s="796">
        <f t="shared" si="37"/>
        <v>3277.5615825387722</v>
      </c>
    </row>
    <row r="115" spans="1:21">
      <c r="A115" s="409" t="b">
        <f>AND(IF(B115=SUMMARY!$B$11,TRUE,FALSE),IF(C115=SUMMARY!$B$12,TRUE,FALSE),IF(D115=SUMMARY!$B$28,TRUE,FALSE),IF(E115=SUMMARY!$B$10,TRUE,FALSE))</f>
        <v>0</v>
      </c>
      <c r="B115" s="149" t="s">
        <v>417</v>
      </c>
      <c r="C115" s="424" t="str">
        <f t="shared" si="33"/>
        <v>9.4% Oil Sands GREET</v>
      </c>
      <c r="D115" s="425" t="str">
        <f>Valuation!$B$7</f>
        <v>High</v>
      </c>
      <c r="E115" s="426" t="s">
        <v>51</v>
      </c>
      <c r="F115" s="445"/>
      <c r="G115" s="138">
        <v>90.718474076075665</v>
      </c>
      <c r="H115" s="796">
        <f>H103</f>
        <v>35.707921166958712</v>
      </c>
      <c r="I115" s="796">
        <f t="shared" ref="I115:N115" si="38">I103</f>
        <v>759.46966379216417</v>
      </c>
      <c r="J115" s="796">
        <f t="shared" si="38"/>
        <v>753.8418343906859</v>
      </c>
      <c r="K115" s="796">
        <f t="shared" si="38"/>
        <v>437.66758355850732</v>
      </c>
      <c r="L115" s="796">
        <f t="shared" si="38"/>
        <v>2224.1774875738147</v>
      </c>
      <c r="M115" s="796">
        <f t="shared" si="38"/>
        <v>1389.5605761316194</v>
      </c>
      <c r="N115" s="796">
        <f t="shared" si="38"/>
        <v>216.62380112928355</v>
      </c>
    </row>
    <row r="116" spans="1:21">
      <c r="A116" s="409" t="b">
        <f>AND(IF(B116=SUMMARY!$B$11,TRUE,FALSE),IF(C116=SUMMARY!$B$12,TRUE,FALSE),IF(D116=SUMMARY!$B$28,TRUE,FALSE),IF(E116=SUMMARY!$B$10,TRUE,FALSE))</f>
        <v>0</v>
      </c>
      <c r="B116" s="149" t="s">
        <v>417</v>
      </c>
      <c r="C116" s="424" t="str">
        <f t="shared" si="33"/>
        <v>9.4% Oil Sands GREET</v>
      </c>
      <c r="D116" s="425" t="str">
        <f>Valuation!$B$7</f>
        <v>High</v>
      </c>
      <c r="E116" s="426" t="s">
        <v>96</v>
      </c>
      <c r="F116" s="445"/>
      <c r="G116" s="138">
        <v>90.718474076075665</v>
      </c>
      <c r="H116" s="796">
        <f t="shared" ref="H116:N118" si="39">H104</f>
        <v>96.852037496853356</v>
      </c>
      <c r="I116" s="796">
        <f t="shared" si="39"/>
        <v>15238.130868855915</v>
      </c>
      <c r="J116" s="796">
        <f t="shared" si="39"/>
        <v>1199.8620181081151</v>
      </c>
      <c r="K116" s="796">
        <f t="shared" si="39"/>
        <v>1042.9463988702091</v>
      </c>
      <c r="L116" s="796">
        <f t="shared" si="39"/>
        <v>9350.608041933272</v>
      </c>
      <c r="M116" s="796">
        <f t="shared" si="39"/>
        <v>4310.1199515044436</v>
      </c>
      <c r="N116" s="796">
        <f t="shared" si="39"/>
        <v>893.14340428930188</v>
      </c>
    </row>
    <row r="117" spans="1:21">
      <c r="A117" s="409" t="b">
        <f>AND(IF(B117=SUMMARY!$B$11,TRUE,FALSE),IF(C117=SUMMARY!$B$12,TRUE,FALSE),IF(D117=SUMMARY!$B$28,TRUE,FALSE),IF(E117=SUMMARY!$B$10,TRUE,FALSE))</f>
        <v>0</v>
      </c>
      <c r="B117" s="149" t="s">
        <v>417</v>
      </c>
      <c r="C117" s="424" t="str">
        <f t="shared" si="33"/>
        <v>9.4% Oil Sands GREET</v>
      </c>
      <c r="D117" s="425" t="str">
        <f>Valuation!$B$7</f>
        <v>High</v>
      </c>
      <c r="E117" s="426" t="s">
        <v>50</v>
      </c>
      <c r="F117" s="445"/>
      <c r="G117" s="138">
        <v>90.718474076075665</v>
      </c>
      <c r="H117" s="796">
        <f t="shared" si="39"/>
        <v>3033.5681543234641</v>
      </c>
      <c r="I117" s="796">
        <f t="shared" si="39"/>
        <v>228245.4400290967</v>
      </c>
      <c r="J117" s="796">
        <f t="shared" si="39"/>
        <v>528.68513287775295</v>
      </c>
      <c r="K117" s="796">
        <f t="shared" si="39"/>
        <v>31362.72514395574</v>
      </c>
      <c r="L117" s="796">
        <f t="shared" si="39"/>
        <v>186841.95483760393</v>
      </c>
      <c r="M117" s="796">
        <f t="shared" si="39"/>
        <v>114729.07210305227</v>
      </c>
      <c r="N117" s="796">
        <f t="shared" si="39"/>
        <v>17322.46077525958</v>
      </c>
    </row>
    <row r="118" spans="1:21">
      <c r="A118" s="411" t="b">
        <f>AND(IF(B118=SUMMARY!$B$11,TRUE,FALSE),IF(C118=SUMMARY!$B$12,TRUE,FALSE),IF(D118=SUMMARY!$B$28,TRUE,FALSE),IF(E118=SUMMARY!$B$10,TRUE,FALSE))</f>
        <v>0</v>
      </c>
      <c r="B118" s="430" t="s">
        <v>417</v>
      </c>
      <c r="C118" s="431" t="str">
        <f t="shared" si="33"/>
        <v>9.4% Oil Sands GREET</v>
      </c>
      <c r="D118" s="432" t="str">
        <f>Valuation!$B$7</f>
        <v>High</v>
      </c>
      <c r="E118" s="433" t="s">
        <v>410</v>
      </c>
      <c r="F118" s="446"/>
      <c r="G118" s="367">
        <v>90.718474076075651</v>
      </c>
      <c r="H118" s="797">
        <f t="shared" si="39"/>
        <v>513.64763125180423</v>
      </c>
      <c r="I118" s="797">
        <f t="shared" si="39"/>
        <v>46213.161038072139</v>
      </c>
      <c r="J118" s="797">
        <f t="shared" si="39"/>
        <v>1589.6601327949231</v>
      </c>
      <c r="K118" s="797">
        <f t="shared" si="39"/>
        <v>5318.6934515733974</v>
      </c>
      <c r="L118" s="797">
        <f t="shared" si="39"/>
        <v>34743.189699254413</v>
      </c>
      <c r="M118" s="797">
        <f t="shared" si="39"/>
        <v>14276.098111886489</v>
      </c>
      <c r="N118" s="797">
        <f t="shared" si="39"/>
        <v>3277.5615825387722</v>
      </c>
    </row>
    <row r="119" spans="1:21">
      <c r="A119" s="409" t="b">
        <f>AND(IF(B119=SUMMARY!$B$11,TRUE,FALSE),IF(C119=SUMMARY!$B$12,TRUE,FALSE),IF(D119=SUMMARY!$B$28,TRUE,FALSE),IF(E119=SUMMARY!$B$10,TRUE,FALSE))</f>
        <v>0</v>
      </c>
      <c r="B119" s="149" t="s">
        <v>417</v>
      </c>
      <c r="C119" s="424" t="str">
        <f t="shared" ref="C119:C134" si="40">$D$15</f>
        <v>100% Oil Sands GREET</v>
      </c>
      <c r="D119" s="425" t="str">
        <f>Valuation!$B$8</f>
        <v>Zero</v>
      </c>
      <c r="E119" s="426" t="s">
        <v>51</v>
      </c>
      <c r="F119" s="445"/>
      <c r="G119" s="138">
        <v>0</v>
      </c>
      <c r="H119" s="801">
        <v>35.707921166958712</v>
      </c>
      <c r="I119" s="801">
        <v>759.46966379216417</v>
      </c>
      <c r="J119" s="801">
        <v>753.8418343906859</v>
      </c>
      <c r="K119" s="801">
        <v>437.66758355850732</v>
      </c>
      <c r="L119" s="801">
        <v>2224.1774875738147</v>
      </c>
      <c r="M119" s="801">
        <v>1389.5605761316194</v>
      </c>
      <c r="N119" s="801">
        <v>216.62380112928355</v>
      </c>
      <c r="P119" s="541"/>
      <c r="Q119" s="541"/>
      <c r="R119" s="541"/>
      <c r="S119" s="541"/>
      <c r="T119" s="541"/>
      <c r="U119" s="541"/>
    </row>
    <row r="120" spans="1:21">
      <c r="A120" s="409" t="b">
        <f>AND(IF(B120=SUMMARY!$B$11,TRUE,FALSE),IF(C120=SUMMARY!$B$12,TRUE,FALSE),IF(D120=SUMMARY!$B$28,TRUE,FALSE),IF(E120=SUMMARY!$B$10,TRUE,FALSE))</f>
        <v>0</v>
      </c>
      <c r="B120" s="149" t="s">
        <v>417</v>
      </c>
      <c r="C120" s="424" t="str">
        <f t="shared" si="40"/>
        <v>100% Oil Sands GREET</v>
      </c>
      <c r="D120" s="425" t="str">
        <f>Valuation!$B$8</f>
        <v>Zero</v>
      </c>
      <c r="E120" s="426" t="s">
        <v>96</v>
      </c>
      <c r="F120" s="445"/>
      <c r="G120" s="138">
        <v>0</v>
      </c>
      <c r="H120" s="801">
        <v>96.852037496853356</v>
      </c>
      <c r="I120" s="801">
        <v>15238.130868855915</v>
      </c>
      <c r="J120" s="801">
        <v>1199.8620181081151</v>
      </c>
      <c r="K120" s="801">
        <v>1042.9463988702091</v>
      </c>
      <c r="L120" s="801">
        <v>9350.608041933272</v>
      </c>
      <c r="M120" s="801">
        <v>4310.1199515044436</v>
      </c>
      <c r="N120" s="801">
        <v>893.14340428930188</v>
      </c>
      <c r="O120" s="143"/>
      <c r="P120" s="541"/>
      <c r="Q120" s="541"/>
      <c r="R120" s="541"/>
      <c r="S120" s="541"/>
      <c r="T120" s="541"/>
      <c r="U120" s="541"/>
    </row>
    <row r="121" spans="1:21">
      <c r="A121" s="409" t="b">
        <f>AND(IF(B121=SUMMARY!$B$11,TRUE,FALSE),IF(C121=SUMMARY!$B$12,TRUE,FALSE),IF(D121=SUMMARY!$B$28,TRUE,FALSE),IF(E121=SUMMARY!$B$10,TRUE,FALSE))</f>
        <v>0</v>
      </c>
      <c r="B121" s="149" t="s">
        <v>417</v>
      </c>
      <c r="C121" s="424" t="str">
        <f t="shared" si="40"/>
        <v>100% Oil Sands GREET</v>
      </c>
      <c r="D121" s="425" t="str">
        <f>Valuation!$B$8</f>
        <v>Zero</v>
      </c>
      <c r="E121" s="426" t="s">
        <v>50</v>
      </c>
      <c r="F121" s="445"/>
      <c r="G121" s="138">
        <v>0</v>
      </c>
      <c r="H121" s="801">
        <v>3033.5681543234641</v>
      </c>
      <c r="I121" s="801">
        <v>228245.4400290967</v>
      </c>
      <c r="J121" s="801">
        <v>528.68513287775295</v>
      </c>
      <c r="K121" s="801">
        <v>31362.72514395574</v>
      </c>
      <c r="L121" s="801">
        <v>186841.95483760393</v>
      </c>
      <c r="M121" s="801">
        <v>114729.07210305227</v>
      </c>
      <c r="N121" s="801">
        <v>17322.46077525958</v>
      </c>
      <c r="O121" s="143"/>
      <c r="P121" s="541"/>
      <c r="Q121" s="541"/>
      <c r="R121" s="541"/>
      <c r="S121" s="541"/>
      <c r="T121" s="541"/>
      <c r="U121" s="541"/>
    </row>
    <row r="122" spans="1:21">
      <c r="A122" s="409" t="b">
        <f>AND(IF(B122=SUMMARY!$B$11,TRUE,FALSE),IF(C122=SUMMARY!$B$12,TRUE,FALSE),IF(D122=SUMMARY!$B$28,TRUE,FALSE),IF(E122=SUMMARY!$B$10,TRUE,FALSE))</f>
        <v>0</v>
      </c>
      <c r="B122" s="149" t="s">
        <v>417</v>
      </c>
      <c r="C122" s="424" t="str">
        <f t="shared" si="40"/>
        <v>100% Oil Sands GREET</v>
      </c>
      <c r="D122" s="425" t="str">
        <f>Valuation!$B$8</f>
        <v>Zero</v>
      </c>
      <c r="E122" s="439" t="s">
        <v>410</v>
      </c>
      <c r="F122" s="445"/>
      <c r="G122" s="138">
        <v>0</v>
      </c>
      <c r="H122" s="801">
        <v>513.64763125180423</v>
      </c>
      <c r="I122" s="801">
        <v>46213.161038072139</v>
      </c>
      <c r="J122" s="801">
        <v>1589.6601327949231</v>
      </c>
      <c r="K122" s="801">
        <v>5318.6934515733974</v>
      </c>
      <c r="L122" s="801">
        <v>34743.189699254413</v>
      </c>
      <c r="M122" s="801">
        <v>14276.098111886489</v>
      </c>
      <c r="N122" s="801">
        <v>3277.5615825387722</v>
      </c>
      <c r="O122" s="143"/>
      <c r="P122" s="541"/>
      <c r="Q122" s="541"/>
      <c r="R122" s="541"/>
      <c r="S122" s="541"/>
      <c r="T122" s="541"/>
      <c r="U122" s="541"/>
    </row>
    <row r="123" spans="1:21">
      <c r="A123" s="409" t="b">
        <f>AND(IF(B123=SUMMARY!$B$11,TRUE,FALSE),IF(C123=SUMMARY!$B$12,TRUE,FALSE),IF(D123=SUMMARY!$B$28,TRUE,FALSE),IF(E123=SUMMARY!$B$10,TRUE,FALSE))</f>
        <v>0</v>
      </c>
      <c r="B123" s="149" t="s">
        <v>417</v>
      </c>
      <c r="C123" s="424" t="str">
        <f t="shared" si="40"/>
        <v>100% Oil Sands GREET</v>
      </c>
      <c r="D123" s="425" t="str">
        <f>Valuation!$B$5</f>
        <v>Low</v>
      </c>
      <c r="E123" s="426" t="s">
        <v>51</v>
      </c>
      <c r="F123" s="445"/>
      <c r="G123" s="138">
        <v>9.0718474076075672</v>
      </c>
      <c r="H123" s="796">
        <f>H119</f>
        <v>35.707921166958712</v>
      </c>
      <c r="I123" s="796">
        <f t="shared" ref="I123:N123" si="41">I119</f>
        <v>759.46966379216417</v>
      </c>
      <c r="J123" s="796">
        <f t="shared" si="41"/>
        <v>753.8418343906859</v>
      </c>
      <c r="K123" s="796">
        <f t="shared" si="41"/>
        <v>437.66758355850732</v>
      </c>
      <c r="L123" s="796">
        <f t="shared" si="41"/>
        <v>2224.1774875738147</v>
      </c>
      <c r="M123" s="796">
        <f t="shared" si="41"/>
        <v>1389.5605761316194</v>
      </c>
      <c r="N123" s="796">
        <f t="shared" si="41"/>
        <v>216.62380112928355</v>
      </c>
      <c r="O123" s="143"/>
    </row>
    <row r="124" spans="1:21">
      <c r="A124" s="409" t="b">
        <f>AND(IF(B124=SUMMARY!$B$11,TRUE,FALSE),IF(C124=SUMMARY!$B$12,TRUE,FALSE),IF(D124=SUMMARY!$B$28,TRUE,FALSE),IF(E124=SUMMARY!$B$10,TRUE,FALSE))</f>
        <v>0</v>
      </c>
      <c r="B124" s="149" t="s">
        <v>417</v>
      </c>
      <c r="C124" s="424" t="str">
        <f t="shared" si="40"/>
        <v>100% Oil Sands GREET</v>
      </c>
      <c r="D124" s="425" t="str">
        <f>Valuation!$B$5</f>
        <v>Low</v>
      </c>
      <c r="E124" s="426" t="s">
        <v>96</v>
      </c>
      <c r="F124" s="445"/>
      <c r="G124" s="138">
        <v>9.0718474076075672</v>
      </c>
      <c r="H124" s="796">
        <f t="shared" ref="H124:N126" si="42">H120</f>
        <v>96.852037496853356</v>
      </c>
      <c r="I124" s="796">
        <f t="shared" si="42"/>
        <v>15238.130868855915</v>
      </c>
      <c r="J124" s="796">
        <f t="shared" si="42"/>
        <v>1199.8620181081151</v>
      </c>
      <c r="K124" s="796">
        <f t="shared" si="42"/>
        <v>1042.9463988702091</v>
      </c>
      <c r="L124" s="796">
        <f t="shared" si="42"/>
        <v>9350.608041933272</v>
      </c>
      <c r="M124" s="796">
        <f t="shared" si="42"/>
        <v>4310.1199515044436</v>
      </c>
      <c r="N124" s="796">
        <f t="shared" si="42"/>
        <v>893.14340428930188</v>
      </c>
      <c r="O124" s="143"/>
    </row>
    <row r="125" spans="1:21">
      <c r="A125" s="409" t="b">
        <f>AND(IF(B125=SUMMARY!$B$11,TRUE,FALSE),IF(C125=SUMMARY!$B$12,TRUE,FALSE),IF(D125=SUMMARY!$B$28,TRUE,FALSE),IF(E125=SUMMARY!$B$10,TRUE,FALSE))</f>
        <v>0</v>
      </c>
      <c r="B125" s="149" t="s">
        <v>417</v>
      </c>
      <c r="C125" s="424" t="str">
        <f t="shared" si="40"/>
        <v>100% Oil Sands GREET</v>
      </c>
      <c r="D125" s="425" t="str">
        <f>Valuation!$B$5</f>
        <v>Low</v>
      </c>
      <c r="E125" s="426" t="s">
        <v>50</v>
      </c>
      <c r="F125" s="445"/>
      <c r="G125" s="138">
        <v>9.0718474076075672</v>
      </c>
      <c r="H125" s="796">
        <f t="shared" si="42"/>
        <v>3033.5681543234641</v>
      </c>
      <c r="I125" s="796">
        <f t="shared" si="42"/>
        <v>228245.4400290967</v>
      </c>
      <c r="J125" s="796">
        <f t="shared" si="42"/>
        <v>528.68513287775295</v>
      </c>
      <c r="K125" s="796">
        <f t="shared" si="42"/>
        <v>31362.72514395574</v>
      </c>
      <c r="L125" s="796">
        <f t="shared" si="42"/>
        <v>186841.95483760393</v>
      </c>
      <c r="M125" s="796">
        <f t="shared" si="42"/>
        <v>114729.07210305227</v>
      </c>
      <c r="N125" s="796">
        <f t="shared" si="42"/>
        <v>17322.46077525958</v>
      </c>
      <c r="O125" s="143"/>
    </row>
    <row r="126" spans="1:21">
      <c r="A126" s="409" t="b">
        <f>AND(IF(B126=SUMMARY!$B$11,TRUE,FALSE),IF(C126=SUMMARY!$B$12,TRUE,FALSE),IF(D126=SUMMARY!$B$28,TRUE,FALSE),IF(E126=SUMMARY!$B$10,TRUE,FALSE))</f>
        <v>0</v>
      </c>
      <c r="B126" s="149" t="s">
        <v>417</v>
      </c>
      <c r="C126" s="424" t="str">
        <f t="shared" si="40"/>
        <v>100% Oil Sands GREET</v>
      </c>
      <c r="D126" s="425" t="str">
        <f>Valuation!$B$5</f>
        <v>Low</v>
      </c>
      <c r="E126" s="439" t="s">
        <v>410</v>
      </c>
      <c r="F126" s="445"/>
      <c r="G126" s="138">
        <v>9.0718474076075655</v>
      </c>
      <c r="H126" s="796">
        <f t="shared" si="42"/>
        <v>513.64763125180423</v>
      </c>
      <c r="I126" s="796">
        <f t="shared" si="42"/>
        <v>46213.161038072139</v>
      </c>
      <c r="J126" s="796">
        <f t="shared" si="42"/>
        <v>1589.6601327949231</v>
      </c>
      <c r="K126" s="796">
        <f t="shared" si="42"/>
        <v>5318.6934515733974</v>
      </c>
      <c r="L126" s="796">
        <f t="shared" si="42"/>
        <v>34743.189699254413</v>
      </c>
      <c r="M126" s="796">
        <f t="shared" si="42"/>
        <v>14276.098111886489</v>
      </c>
      <c r="N126" s="796">
        <f t="shared" si="42"/>
        <v>3277.5615825387722</v>
      </c>
      <c r="O126" s="143"/>
    </row>
    <row r="127" spans="1:21">
      <c r="A127" s="409" t="b">
        <f>AND(IF(B127=SUMMARY!$B$11,TRUE,FALSE),IF(C127=SUMMARY!$B$12,TRUE,FALSE),IF(D127=SUMMARY!$B$28,TRUE,FALSE),IF(E127=SUMMARY!$B$10,TRUE,FALSE))</f>
        <v>0</v>
      </c>
      <c r="B127" s="149" t="s">
        <v>417</v>
      </c>
      <c r="C127" s="424" t="str">
        <f t="shared" si="40"/>
        <v>100% Oil Sands GREET</v>
      </c>
      <c r="D127" s="425" t="str">
        <f>Valuation!$B$6</f>
        <v>Medium</v>
      </c>
      <c r="E127" s="426" t="s">
        <v>51</v>
      </c>
      <c r="F127" s="445"/>
      <c r="G127" s="138">
        <v>27.215542222822698</v>
      </c>
      <c r="H127" s="796">
        <f>H119</f>
        <v>35.707921166958712</v>
      </c>
      <c r="I127" s="796">
        <f t="shared" ref="I127:N127" si="43">I119</f>
        <v>759.46966379216417</v>
      </c>
      <c r="J127" s="796">
        <f t="shared" si="43"/>
        <v>753.8418343906859</v>
      </c>
      <c r="K127" s="796">
        <f t="shared" si="43"/>
        <v>437.66758355850732</v>
      </c>
      <c r="L127" s="796">
        <f t="shared" si="43"/>
        <v>2224.1774875738147</v>
      </c>
      <c r="M127" s="796">
        <f t="shared" si="43"/>
        <v>1389.5605761316194</v>
      </c>
      <c r="N127" s="796">
        <f t="shared" si="43"/>
        <v>216.62380112928355</v>
      </c>
      <c r="O127" s="143"/>
    </row>
    <row r="128" spans="1:21">
      <c r="A128" s="409" t="b">
        <f>AND(IF(B128=SUMMARY!$B$11,TRUE,FALSE),IF(C128=SUMMARY!$B$12,TRUE,FALSE),IF(D128=SUMMARY!$B$28,TRUE,FALSE),IF(E128=SUMMARY!$B$10,TRUE,FALSE))</f>
        <v>0</v>
      </c>
      <c r="B128" s="149" t="s">
        <v>417</v>
      </c>
      <c r="C128" s="424" t="str">
        <f t="shared" si="40"/>
        <v>100% Oil Sands GREET</v>
      </c>
      <c r="D128" s="425" t="str">
        <f>Valuation!$B$6</f>
        <v>Medium</v>
      </c>
      <c r="E128" s="426" t="s">
        <v>96</v>
      </c>
      <c r="F128" s="445"/>
      <c r="G128" s="138">
        <v>27.215542222822698</v>
      </c>
      <c r="H128" s="796">
        <f t="shared" ref="H128:N130" si="44">H120</f>
        <v>96.852037496853356</v>
      </c>
      <c r="I128" s="796">
        <f t="shared" si="44"/>
        <v>15238.130868855915</v>
      </c>
      <c r="J128" s="796">
        <f t="shared" si="44"/>
        <v>1199.8620181081151</v>
      </c>
      <c r="K128" s="796">
        <f t="shared" si="44"/>
        <v>1042.9463988702091</v>
      </c>
      <c r="L128" s="796">
        <f t="shared" si="44"/>
        <v>9350.608041933272</v>
      </c>
      <c r="M128" s="796">
        <f t="shared" si="44"/>
        <v>4310.1199515044436</v>
      </c>
      <c r="N128" s="796">
        <f t="shared" si="44"/>
        <v>893.14340428930188</v>
      </c>
      <c r="O128" s="143"/>
    </row>
    <row r="129" spans="1:21">
      <c r="A129" s="409" t="b">
        <f>AND(IF(B129=SUMMARY!$B$11,TRUE,FALSE),IF(C129=SUMMARY!$B$12,TRUE,FALSE),IF(D129=SUMMARY!$B$28,TRUE,FALSE),IF(E129=SUMMARY!$B$10,TRUE,FALSE))</f>
        <v>0</v>
      </c>
      <c r="B129" s="149" t="s">
        <v>417</v>
      </c>
      <c r="C129" s="424" t="str">
        <f t="shared" si="40"/>
        <v>100% Oil Sands GREET</v>
      </c>
      <c r="D129" s="425" t="str">
        <f>Valuation!$B$6</f>
        <v>Medium</v>
      </c>
      <c r="E129" s="426" t="s">
        <v>50</v>
      </c>
      <c r="F129" s="445"/>
      <c r="G129" s="138">
        <v>27.215542222822698</v>
      </c>
      <c r="H129" s="796">
        <f t="shared" si="44"/>
        <v>3033.5681543234641</v>
      </c>
      <c r="I129" s="796">
        <f t="shared" si="44"/>
        <v>228245.4400290967</v>
      </c>
      <c r="J129" s="796">
        <f t="shared" si="44"/>
        <v>528.68513287775295</v>
      </c>
      <c r="K129" s="796">
        <f t="shared" si="44"/>
        <v>31362.72514395574</v>
      </c>
      <c r="L129" s="796">
        <f t="shared" si="44"/>
        <v>186841.95483760393</v>
      </c>
      <c r="M129" s="796">
        <f t="shared" si="44"/>
        <v>114729.07210305227</v>
      </c>
      <c r="N129" s="796">
        <f t="shared" si="44"/>
        <v>17322.46077525958</v>
      </c>
      <c r="O129" s="143"/>
    </row>
    <row r="130" spans="1:21">
      <c r="A130" s="409" t="b">
        <f>AND(IF(B130=SUMMARY!$B$11,TRUE,FALSE),IF(C130=SUMMARY!$B$12,TRUE,FALSE),IF(D130=SUMMARY!$B$28,TRUE,FALSE),IF(E130=SUMMARY!$B$10,TRUE,FALSE))</f>
        <v>0</v>
      </c>
      <c r="B130" s="149" t="s">
        <v>417</v>
      </c>
      <c r="C130" s="424" t="str">
        <f t="shared" si="40"/>
        <v>100% Oil Sands GREET</v>
      </c>
      <c r="D130" s="425" t="str">
        <f>Valuation!$B$6</f>
        <v>Medium</v>
      </c>
      <c r="E130" s="439" t="s">
        <v>410</v>
      </c>
      <c r="F130" s="445"/>
      <c r="G130" s="138">
        <v>27.215542222822702</v>
      </c>
      <c r="H130" s="796">
        <f t="shared" si="44"/>
        <v>513.64763125180423</v>
      </c>
      <c r="I130" s="796">
        <f t="shared" si="44"/>
        <v>46213.161038072139</v>
      </c>
      <c r="J130" s="796">
        <f t="shared" si="44"/>
        <v>1589.6601327949231</v>
      </c>
      <c r="K130" s="796">
        <f t="shared" si="44"/>
        <v>5318.6934515733974</v>
      </c>
      <c r="L130" s="796">
        <f t="shared" si="44"/>
        <v>34743.189699254413</v>
      </c>
      <c r="M130" s="796">
        <f t="shared" si="44"/>
        <v>14276.098111886489</v>
      </c>
      <c r="N130" s="796">
        <f t="shared" si="44"/>
        <v>3277.5615825387722</v>
      </c>
      <c r="O130" s="143"/>
    </row>
    <row r="131" spans="1:21">
      <c r="A131" s="409" t="b">
        <f>AND(IF(B131=SUMMARY!$B$11,TRUE,FALSE),IF(C131=SUMMARY!$B$12,TRUE,FALSE),IF(D131=SUMMARY!$B$28,TRUE,FALSE),IF(E131=SUMMARY!$B$10,TRUE,FALSE))</f>
        <v>0</v>
      </c>
      <c r="B131" s="149" t="s">
        <v>417</v>
      </c>
      <c r="C131" s="424" t="str">
        <f t="shared" si="40"/>
        <v>100% Oil Sands GREET</v>
      </c>
      <c r="D131" s="425" t="str">
        <f>Valuation!$B$7</f>
        <v>High</v>
      </c>
      <c r="E131" s="426" t="s">
        <v>51</v>
      </c>
      <c r="F131" s="445"/>
      <c r="G131" s="138">
        <v>90.718474076075665</v>
      </c>
      <c r="H131" s="796">
        <f>H119</f>
        <v>35.707921166958712</v>
      </c>
      <c r="I131" s="796">
        <f t="shared" ref="I131:N131" si="45">I119</f>
        <v>759.46966379216417</v>
      </c>
      <c r="J131" s="796">
        <f t="shared" si="45"/>
        <v>753.8418343906859</v>
      </c>
      <c r="K131" s="796">
        <f t="shared" si="45"/>
        <v>437.66758355850732</v>
      </c>
      <c r="L131" s="796">
        <f t="shared" si="45"/>
        <v>2224.1774875738147</v>
      </c>
      <c r="M131" s="796">
        <f t="shared" si="45"/>
        <v>1389.5605761316194</v>
      </c>
      <c r="N131" s="796">
        <f t="shared" si="45"/>
        <v>216.62380112928355</v>
      </c>
      <c r="O131" s="143"/>
    </row>
    <row r="132" spans="1:21">
      <c r="A132" s="409" t="b">
        <f>AND(IF(B132=SUMMARY!$B$11,TRUE,FALSE),IF(C132=SUMMARY!$B$12,TRUE,FALSE),IF(D132=SUMMARY!$B$28,TRUE,FALSE),IF(E132=SUMMARY!$B$10,TRUE,FALSE))</f>
        <v>0</v>
      </c>
      <c r="B132" s="149" t="s">
        <v>417</v>
      </c>
      <c r="C132" s="424" t="str">
        <f t="shared" si="40"/>
        <v>100% Oil Sands GREET</v>
      </c>
      <c r="D132" s="425" t="str">
        <f>Valuation!$B$7</f>
        <v>High</v>
      </c>
      <c r="E132" s="426" t="s">
        <v>96</v>
      </c>
      <c r="F132" s="445"/>
      <c r="G132" s="138">
        <v>90.718474076075665</v>
      </c>
      <c r="H132" s="796">
        <f t="shared" ref="H132:N134" si="46">H120</f>
        <v>96.852037496853356</v>
      </c>
      <c r="I132" s="796">
        <f t="shared" si="46"/>
        <v>15238.130868855915</v>
      </c>
      <c r="J132" s="796">
        <f t="shared" si="46"/>
        <v>1199.8620181081151</v>
      </c>
      <c r="K132" s="796">
        <f t="shared" si="46"/>
        <v>1042.9463988702091</v>
      </c>
      <c r="L132" s="796">
        <f t="shared" si="46"/>
        <v>9350.608041933272</v>
      </c>
      <c r="M132" s="796">
        <f t="shared" si="46"/>
        <v>4310.1199515044436</v>
      </c>
      <c r="N132" s="796">
        <f t="shared" si="46"/>
        <v>893.14340428930188</v>
      </c>
      <c r="O132" s="143"/>
    </row>
    <row r="133" spans="1:21">
      <c r="A133" s="409" t="b">
        <f>AND(IF(B133=SUMMARY!$B$11,TRUE,FALSE),IF(C133=SUMMARY!$B$12,TRUE,FALSE),IF(D133=SUMMARY!$B$28,TRUE,FALSE),IF(E133=SUMMARY!$B$10,TRUE,FALSE))</f>
        <v>0</v>
      </c>
      <c r="B133" s="149" t="s">
        <v>417</v>
      </c>
      <c r="C133" s="424" t="str">
        <f t="shared" si="40"/>
        <v>100% Oil Sands GREET</v>
      </c>
      <c r="D133" s="425" t="str">
        <f>Valuation!$B$7</f>
        <v>High</v>
      </c>
      <c r="E133" s="426" t="s">
        <v>50</v>
      </c>
      <c r="F133" s="445"/>
      <c r="G133" s="138">
        <v>90.718474076075665</v>
      </c>
      <c r="H133" s="796">
        <f t="shared" si="46"/>
        <v>3033.5681543234641</v>
      </c>
      <c r="I133" s="796">
        <f t="shared" si="46"/>
        <v>228245.4400290967</v>
      </c>
      <c r="J133" s="796">
        <f t="shared" si="46"/>
        <v>528.68513287775295</v>
      </c>
      <c r="K133" s="796">
        <f t="shared" si="46"/>
        <v>31362.72514395574</v>
      </c>
      <c r="L133" s="796">
        <f t="shared" si="46"/>
        <v>186841.95483760393</v>
      </c>
      <c r="M133" s="796">
        <f t="shared" si="46"/>
        <v>114729.07210305227</v>
      </c>
      <c r="N133" s="796">
        <f t="shared" si="46"/>
        <v>17322.46077525958</v>
      </c>
      <c r="O133" s="143"/>
    </row>
    <row r="134" spans="1:21">
      <c r="A134" s="442" t="b">
        <f>AND(IF(B134=SUMMARY!$B$11,TRUE,FALSE),IF(C134=SUMMARY!$B$12,TRUE,FALSE),IF(D134=SUMMARY!$B$28,TRUE,FALSE),IF(E134=SUMMARY!$B$10,TRUE,FALSE))</f>
        <v>0</v>
      </c>
      <c r="B134" s="430" t="s">
        <v>417</v>
      </c>
      <c r="C134" s="431" t="str">
        <f t="shared" si="40"/>
        <v>100% Oil Sands GREET</v>
      </c>
      <c r="D134" s="432" t="str">
        <f>Valuation!$B$7</f>
        <v>High</v>
      </c>
      <c r="E134" s="433" t="s">
        <v>410</v>
      </c>
      <c r="F134" s="446"/>
      <c r="G134" s="367">
        <v>90.718474076075651</v>
      </c>
      <c r="H134" s="797">
        <f t="shared" si="46"/>
        <v>513.64763125180423</v>
      </c>
      <c r="I134" s="797">
        <f t="shared" si="46"/>
        <v>46213.161038072139</v>
      </c>
      <c r="J134" s="797">
        <f t="shared" si="46"/>
        <v>1589.6601327949231</v>
      </c>
      <c r="K134" s="797">
        <f t="shared" si="46"/>
        <v>5318.6934515733974</v>
      </c>
      <c r="L134" s="797">
        <f t="shared" si="46"/>
        <v>34743.189699254413</v>
      </c>
      <c r="M134" s="797">
        <f t="shared" si="46"/>
        <v>14276.098111886489</v>
      </c>
      <c r="N134" s="797">
        <f t="shared" si="46"/>
        <v>3277.5615825387722</v>
      </c>
      <c r="O134" s="143"/>
    </row>
    <row r="135" spans="1:21">
      <c r="A135" s="409" t="b">
        <f>AND(IF(B135=SUMMARY!$B$11,TRUE,FALSE),IF(C135=SUMMARY!$B$12,TRUE,FALSE),IF(D135=SUMMARY!$B$28,TRUE,FALSE),IF(E135=SUMMARY!$B$10,TRUE,FALSE))</f>
        <v>0</v>
      </c>
      <c r="B135" s="149" t="s">
        <v>556</v>
      </c>
      <c r="C135" s="424" t="str">
        <f t="shared" ref="C135:C150" si="47">$D$13</f>
        <v>0% Oil Sands GREET</v>
      </c>
      <c r="D135" s="425" t="str">
        <f>Valuation!$B$8</f>
        <v>Zero</v>
      </c>
      <c r="E135" s="426" t="s">
        <v>51</v>
      </c>
      <c r="F135" s="445"/>
      <c r="G135" s="138">
        <v>0</v>
      </c>
      <c r="H135" s="801">
        <v>28.872276624375626</v>
      </c>
      <c r="I135" s="801">
        <v>940.75601927734931</v>
      </c>
      <c r="J135" s="801">
        <v>484.87982482915828</v>
      </c>
      <c r="K135" s="801">
        <v>378.56465342863527</v>
      </c>
      <c r="L135" s="801">
        <v>1581.6502871588971</v>
      </c>
      <c r="M135" s="801">
        <v>2684.2426210795211</v>
      </c>
      <c r="N135" s="801">
        <v>155.93740138618372</v>
      </c>
      <c r="O135" s="143"/>
      <c r="P135" s="541"/>
      <c r="Q135" s="541"/>
      <c r="R135" s="541"/>
      <c r="S135" s="541"/>
      <c r="T135" s="541"/>
      <c r="U135" s="541"/>
    </row>
    <row r="136" spans="1:21">
      <c r="A136" s="409" t="b">
        <f>AND(IF(B136=SUMMARY!$B$11,TRUE,FALSE),IF(C136=SUMMARY!$B$12,TRUE,FALSE),IF(D136=SUMMARY!$B$28,TRUE,FALSE),IF(E136=SUMMARY!$B$10,TRUE,FALSE))</f>
        <v>0</v>
      </c>
      <c r="B136" s="149" t="s">
        <v>556</v>
      </c>
      <c r="C136" s="424" t="str">
        <f t="shared" si="47"/>
        <v>0% Oil Sands GREET</v>
      </c>
      <c r="D136" s="425" t="str">
        <f>Valuation!$B$8</f>
        <v>Zero</v>
      </c>
      <c r="E136" s="426" t="s">
        <v>96</v>
      </c>
      <c r="F136" s="445"/>
      <c r="G136" s="138">
        <v>0</v>
      </c>
      <c r="H136" s="801">
        <v>121.40285884710198</v>
      </c>
      <c r="I136" s="801">
        <v>552.2496181228513</v>
      </c>
      <c r="J136" s="801">
        <v>1508.6702457947206</v>
      </c>
      <c r="K136" s="801">
        <v>1591.7979653151988</v>
      </c>
      <c r="L136" s="801">
        <v>9481.1963781810427</v>
      </c>
      <c r="M136" s="801">
        <v>2936.3011797456747</v>
      </c>
      <c r="N136" s="801">
        <v>914.20930535494551</v>
      </c>
      <c r="O136" s="143"/>
      <c r="P136" s="541"/>
      <c r="Q136" s="541"/>
      <c r="R136" s="541"/>
      <c r="S136" s="541"/>
      <c r="T136" s="541"/>
      <c r="U136" s="541"/>
    </row>
    <row r="137" spans="1:21">
      <c r="A137" s="409" t="b">
        <f>AND(IF(B137=SUMMARY!$B$11,TRUE,FALSE),IF(C137=SUMMARY!$B$12,TRUE,FALSE),IF(D137=SUMMARY!$B$28,TRUE,FALSE),IF(E137=SUMMARY!$B$10,TRUE,FALSE))</f>
        <v>0</v>
      </c>
      <c r="B137" s="149" t="s">
        <v>556</v>
      </c>
      <c r="C137" s="424" t="str">
        <f t="shared" si="47"/>
        <v>0% Oil Sands GREET</v>
      </c>
      <c r="D137" s="425" t="str">
        <f>Valuation!$B$8</f>
        <v>Zero</v>
      </c>
      <c r="E137" s="426" t="s">
        <v>50</v>
      </c>
      <c r="F137" s="445"/>
      <c r="G137" s="138">
        <v>0</v>
      </c>
      <c r="H137" s="801">
        <v>791.20116853623938</v>
      </c>
      <c r="I137" s="801">
        <v>127620.4269372869</v>
      </c>
      <c r="J137" s="801">
        <v>3.9091134790224644</v>
      </c>
      <c r="K137" s="801">
        <v>10373.993019531414</v>
      </c>
      <c r="L137" s="801">
        <v>81855.923260009004</v>
      </c>
      <c r="M137" s="801">
        <v>16599.661850516619</v>
      </c>
      <c r="N137" s="801">
        <v>7775.2780754830519</v>
      </c>
      <c r="O137" s="143"/>
      <c r="P137" s="541"/>
      <c r="Q137" s="541"/>
      <c r="R137" s="541"/>
      <c r="S137" s="541"/>
      <c r="T137" s="541"/>
      <c r="U137" s="541"/>
    </row>
    <row r="138" spans="1:21">
      <c r="A138" s="409" t="b">
        <f>AND(IF(B138=SUMMARY!$B$11,TRUE,FALSE),IF(C138=SUMMARY!$B$12,TRUE,FALSE),IF(D138=SUMMARY!$B$28,TRUE,FALSE),IF(E138=SUMMARY!$B$10,TRUE,FALSE))</f>
        <v>0</v>
      </c>
      <c r="B138" s="149" t="s">
        <v>556</v>
      </c>
      <c r="C138" s="424" t="str">
        <f t="shared" si="47"/>
        <v>0% Oil Sands GREET</v>
      </c>
      <c r="D138" s="425" t="str">
        <f>Valuation!$B$8</f>
        <v>Zero</v>
      </c>
      <c r="E138" s="439" t="s">
        <v>410</v>
      </c>
      <c r="F138" s="445"/>
      <c r="G138" s="138">
        <v>0</v>
      </c>
      <c r="H138" s="801">
        <v>190.97252351455793</v>
      </c>
      <c r="I138" s="801">
        <v>16060.699854904535</v>
      </c>
      <c r="J138" s="801">
        <v>2279.8656134269131</v>
      </c>
      <c r="K138" s="801">
        <v>2503.9745953959377</v>
      </c>
      <c r="L138" s="801">
        <v>17328.791864888779</v>
      </c>
      <c r="M138" s="801">
        <v>5934.2528940232096</v>
      </c>
      <c r="N138" s="801">
        <v>1657.7342798945515</v>
      </c>
      <c r="O138" s="143"/>
      <c r="P138" s="541"/>
      <c r="Q138" s="541"/>
      <c r="R138" s="541"/>
      <c r="S138" s="541"/>
      <c r="T138" s="541"/>
      <c r="U138" s="541"/>
    </row>
    <row r="139" spans="1:21">
      <c r="A139" s="409" t="b">
        <f>AND(IF(B139=SUMMARY!$B$11,TRUE,FALSE),IF(C139=SUMMARY!$B$12,TRUE,FALSE),IF(D139=SUMMARY!$B$28,TRUE,FALSE),IF(E139=SUMMARY!$B$10,TRUE,FALSE))</f>
        <v>0</v>
      </c>
      <c r="B139" s="149" t="s">
        <v>556</v>
      </c>
      <c r="C139" s="424" t="str">
        <f t="shared" si="47"/>
        <v>0% Oil Sands GREET</v>
      </c>
      <c r="D139" s="425" t="str">
        <f>Valuation!$B$5</f>
        <v>Low</v>
      </c>
      <c r="E139" s="426" t="s">
        <v>51</v>
      </c>
      <c r="F139" s="445"/>
      <c r="G139" s="138">
        <v>9.0718474076075672</v>
      </c>
      <c r="H139" s="796">
        <f>H135</f>
        <v>28.872276624375626</v>
      </c>
      <c r="I139" s="796">
        <f t="shared" ref="I139:N139" si="48">I135</f>
        <v>940.75601927734931</v>
      </c>
      <c r="J139" s="796">
        <f t="shared" si="48"/>
        <v>484.87982482915828</v>
      </c>
      <c r="K139" s="796">
        <f t="shared" si="48"/>
        <v>378.56465342863527</v>
      </c>
      <c r="L139" s="796">
        <f t="shared" si="48"/>
        <v>1581.6502871588971</v>
      </c>
      <c r="M139" s="796">
        <f t="shared" si="48"/>
        <v>2684.2426210795211</v>
      </c>
      <c r="N139" s="796">
        <f t="shared" si="48"/>
        <v>155.93740138618372</v>
      </c>
      <c r="O139" s="143"/>
    </row>
    <row r="140" spans="1:21">
      <c r="A140" s="409" t="b">
        <f>AND(IF(B140=SUMMARY!$B$11,TRUE,FALSE),IF(C140=SUMMARY!$B$12,TRUE,FALSE),IF(D140=SUMMARY!$B$28,TRUE,FALSE),IF(E140=SUMMARY!$B$10,TRUE,FALSE))</f>
        <v>0</v>
      </c>
      <c r="B140" s="149" t="s">
        <v>556</v>
      </c>
      <c r="C140" s="424" t="str">
        <f t="shared" si="47"/>
        <v>0% Oil Sands GREET</v>
      </c>
      <c r="D140" s="425" t="str">
        <f>Valuation!$B$5</f>
        <v>Low</v>
      </c>
      <c r="E140" s="426" t="s">
        <v>96</v>
      </c>
      <c r="F140" s="445"/>
      <c r="G140" s="138">
        <v>9.0718474076075672</v>
      </c>
      <c r="H140" s="796">
        <f t="shared" ref="H140:N142" si="49">H136</f>
        <v>121.40285884710198</v>
      </c>
      <c r="I140" s="796">
        <f t="shared" si="49"/>
        <v>552.2496181228513</v>
      </c>
      <c r="J140" s="796">
        <f t="shared" si="49"/>
        <v>1508.6702457947206</v>
      </c>
      <c r="K140" s="796">
        <f t="shared" si="49"/>
        <v>1591.7979653151988</v>
      </c>
      <c r="L140" s="796">
        <f t="shared" si="49"/>
        <v>9481.1963781810427</v>
      </c>
      <c r="M140" s="796">
        <f t="shared" si="49"/>
        <v>2936.3011797456747</v>
      </c>
      <c r="N140" s="796">
        <f t="shared" si="49"/>
        <v>914.20930535494551</v>
      </c>
      <c r="O140" s="143"/>
    </row>
    <row r="141" spans="1:21">
      <c r="A141" s="409" t="b">
        <f>AND(IF(B141=SUMMARY!$B$11,TRUE,FALSE),IF(C141=SUMMARY!$B$12,TRUE,FALSE),IF(D141=SUMMARY!$B$28,TRUE,FALSE),IF(E141=SUMMARY!$B$10,TRUE,FALSE))</f>
        <v>0</v>
      </c>
      <c r="B141" s="149" t="s">
        <v>556</v>
      </c>
      <c r="C141" s="424" t="str">
        <f t="shared" si="47"/>
        <v>0% Oil Sands GREET</v>
      </c>
      <c r="D141" s="425" t="str">
        <f>Valuation!$B$5</f>
        <v>Low</v>
      </c>
      <c r="E141" s="426" t="s">
        <v>50</v>
      </c>
      <c r="F141" s="445"/>
      <c r="G141" s="138">
        <v>9.0718474076075672</v>
      </c>
      <c r="H141" s="796">
        <f t="shared" si="49"/>
        <v>791.20116853623938</v>
      </c>
      <c r="I141" s="796">
        <f t="shared" si="49"/>
        <v>127620.4269372869</v>
      </c>
      <c r="J141" s="796">
        <f t="shared" si="49"/>
        <v>3.9091134790224644</v>
      </c>
      <c r="K141" s="796">
        <f t="shared" si="49"/>
        <v>10373.993019531414</v>
      </c>
      <c r="L141" s="796">
        <f t="shared" si="49"/>
        <v>81855.923260009004</v>
      </c>
      <c r="M141" s="796">
        <f t="shared" si="49"/>
        <v>16599.661850516619</v>
      </c>
      <c r="N141" s="796">
        <f t="shared" si="49"/>
        <v>7775.2780754830519</v>
      </c>
      <c r="O141" s="143"/>
    </row>
    <row r="142" spans="1:21">
      <c r="A142" s="409" t="b">
        <f>AND(IF(B142=SUMMARY!$B$11,TRUE,FALSE),IF(C142=SUMMARY!$B$12,TRUE,FALSE),IF(D142=SUMMARY!$B$28,TRUE,FALSE),IF(E142=SUMMARY!$B$10,TRUE,FALSE))</f>
        <v>0</v>
      </c>
      <c r="B142" s="149" t="s">
        <v>556</v>
      </c>
      <c r="C142" s="424" t="str">
        <f t="shared" si="47"/>
        <v>0% Oil Sands GREET</v>
      </c>
      <c r="D142" s="425" t="str">
        <f>Valuation!$B$5</f>
        <v>Low</v>
      </c>
      <c r="E142" s="439" t="s">
        <v>410</v>
      </c>
      <c r="F142" s="445"/>
      <c r="G142" s="138">
        <v>9.0718474076075672</v>
      </c>
      <c r="H142" s="796">
        <f t="shared" si="49"/>
        <v>190.97252351455793</v>
      </c>
      <c r="I142" s="796">
        <f t="shared" si="49"/>
        <v>16060.699854904535</v>
      </c>
      <c r="J142" s="796">
        <f t="shared" si="49"/>
        <v>2279.8656134269131</v>
      </c>
      <c r="K142" s="796">
        <f t="shared" si="49"/>
        <v>2503.9745953959377</v>
      </c>
      <c r="L142" s="796">
        <f t="shared" si="49"/>
        <v>17328.791864888779</v>
      </c>
      <c r="M142" s="796">
        <f t="shared" si="49"/>
        <v>5934.2528940232096</v>
      </c>
      <c r="N142" s="796">
        <f t="shared" si="49"/>
        <v>1657.7342798945515</v>
      </c>
      <c r="O142" s="143"/>
    </row>
    <row r="143" spans="1:21">
      <c r="A143" s="409" t="b">
        <f>AND(IF(B143=SUMMARY!$B$11,TRUE,FALSE),IF(C143=SUMMARY!$B$12,TRUE,FALSE),IF(D143=SUMMARY!$B$28,TRUE,FALSE),IF(E143=SUMMARY!$B$10,TRUE,FALSE))</f>
        <v>0</v>
      </c>
      <c r="B143" s="149" t="s">
        <v>556</v>
      </c>
      <c r="C143" s="424" t="str">
        <f t="shared" si="47"/>
        <v>0% Oil Sands GREET</v>
      </c>
      <c r="D143" s="425" t="str">
        <f>Valuation!$B$6</f>
        <v>Medium</v>
      </c>
      <c r="E143" s="426" t="s">
        <v>51</v>
      </c>
      <c r="F143" s="445"/>
      <c r="G143" s="138">
        <v>27.215542222822698</v>
      </c>
      <c r="H143" s="796">
        <f>H135</f>
        <v>28.872276624375626</v>
      </c>
      <c r="I143" s="796">
        <f t="shared" ref="I143:N143" si="50">I135</f>
        <v>940.75601927734931</v>
      </c>
      <c r="J143" s="796">
        <f t="shared" si="50"/>
        <v>484.87982482915828</v>
      </c>
      <c r="K143" s="796">
        <f t="shared" si="50"/>
        <v>378.56465342863527</v>
      </c>
      <c r="L143" s="796">
        <f t="shared" si="50"/>
        <v>1581.6502871588971</v>
      </c>
      <c r="M143" s="796">
        <f t="shared" si="50"/>
        <v>2684.2426210795211</v>
      </c>
      <c r="N143" s="796">
        <f t="shared" si="50"/>
        <v>155.93740138618372</v>
      </c>
      <c r="O143" s="143"/>
    </row>
    <row r="144" spans="1:21">
      <c r="A144" s="409" t="b">
        <f>AND(IF(B144=SUMMARY!$B$11,TRUE,FALSE),IF(C144=SUMMARY!$B$12,TRUE,FALSE),IF(D144=SUMMARY!$B$28,TRUE,FALSE),IF(E144=SUMMARY!$B$10,TRUE,FALSE))</f>
        <v>0</v>
      </c>
      <c r="B144" s="149" t="s">
        <v>556</v>
      </c>
      <c r="C144" s="424" t="str">
        <f t="shared" si="47"/>
        <v>0% Oil Sands GREET</v>
      </c>
      <c r="D144" s="425" t="str">
        <f>Valuation!$B$6</f>
        <v>Medium</v>
      </c>
      <c r="E144" s="426" t="s">
        <v>96</v>
      </c>
      <c r="F144" s="445"/>
      <c r="G144" s="138">
        <v>27.215542222822698</v>
      </c>
      <c r="H144" s="796">
        <f t="shared" ref="H144:N146" si="51">H136</f>
        <v>121.40285884710198</v>
      </c>
      <c r="I144" s="796">
        <f t="shared" si="51"/>
        <v>552.2496181228513</v>
      </c>
      <c r="J144" s="796">
        <f t="shared" si="51"/>
        <v>1508.6702457947206</v>
      </c>
      <c r="K144" s="796">
        <f t="shared" si="51"/>
        <v>1591.7979653151988</v>
      </c>
      <c r="L144" s="796">
        <f t="shared" si="51"/>
        <v>9481.1963781810427</v>
      </c>
      <c r="M144" s="796">
        <f t="shared" si="51"/>
        <v>2936.3011797456747</v>
      </c>
      <c r="N144" s="796">
        <f t="shared" si="51"/>
        <v>914.20930535494551</v>
      </c>
      <c r="O144" s="143"/>
    </row>
    <row r="145" spans="1:21">
      <c r="A145" s="409" t="b">
        <f>AND(IF(B145=SUMMARY!$B$11,TRUE,FALSE),IF(C145=SUMMARY!$B$12,TRUE,FALSE),IF(D145=SUMMARY!$B$28,TRUE,FALSE),IF(E145=SUMMARY!$B$10,TRUE,FALSE))</f>
        <v>0</v>
      </c>
      <c r="B145" s="149" t="s">
        <v>556</v>
      </c>
      <c r="C145" s="424" t="str">
        <f t="shared" si="47"/>
        <v>0% Oil Sands GREET</v>
      </c>
      <c r="D145" s="425" t="str">
        <f>Valuation!$B$6</f>
        <v>Medium</v>
      </c>
      <c r="E145" s="426" t="s">
        <v>50</v>
      </c>
      <c r="F145" s="445"/>
      <c r="G145" s="138">
        <v>27.215542222822698</v>
      </c>
      <c r="H145" s="796">
        <f t="shared" si="51"/>
        <v>791.20116853623938</v>
      </c>
      <c r="I145" s="796">
        <f t="shared" si="51"/>
        <v>127620.4269372869</v>
      </c>
      <c r="J145" s="796">
        <f t="shared" si="51"/>
        <v>3.9091134790224644</v>
      </c>
      <c r="K145" s="796">
        <f t="shared" si="51"/>
        <v>10373.993019531414</v>
      </c>
      <c r="L145" s="796">
        <f t="shared" si="51"/>
        <v>81855.923260009004</v>
      </c>
      <c r="M145" s="796">
        <f t="shared" si="51"/>
        <v>16599.661850516619</v>
      </c>
      <c r="N145" s="796">
        <f t="shared" si="51"/>
        <v>7775.2780754830519</v>
      </c>
      <c r="O145" s="143"/>
    </row>
    <row r="146" spans="1:21">
      <c r="A146" s="409" t="b">
        <f>AND(IF(B146=SUMMARY!$B$11,TRUE,FALSE),IF(C146=SUMMARY!$B$12,TRUE,FALSE),IF(D146=SUMMARY!$B$28,TRUE,FALSE),IF(E146=SUMMARY!$B$10,TRUE,FALSE))</f>
        <v>0</v>
      </c>
      <c r="B146" s="149" t="s">
        <v>556</v>
      </c>
      <c r="C146" s="424" t="str">
        <f t="shared" si="47"/>
        <v>0% Oil Sands GREET</v>
      </c>
      <c r="D146" s="425" t="str">
        <f>Valuation!$B$6</f>
        <v>Medium</v>
      </c>
      <c r="E146" s="439" t="s">
        <v>410</v>
      </c>
      <c r="F146" s="445"/>
      <c r="G146" s="138">
        <v>27.215542222822695</v>
      </c>
      <c r="H146" s="796">
        <f t="shared" si="51"/>
        <v>190.97252351455793</v>
      </c>
      <c r="I146" s="796">
        <f t="shared" si="51"/>
        <v>16060.699854904535</v>
      </c>
      <c r="J146" s="796">
        <f t="shared" si="51"/>
        <v>2279.8656134269131</v>
      </c>
      <c r="K146" s="796">
        <f t="shared" si="51"/>
        <v>2503.9745953959377</v>
      </c>
      <c r="L146" s="796">
        <f t="shared" si="51"/>
        <v>17328.791864888779</v>
      </c>
      <c r="M146" s="796">
        <f t="shared" si="51"/>
        <v>5934.2528940232096</v>
      </c>
      <c r="N146" s="796">
        <f t="shared" si="51"/>
        <v>1657.7342798945515</v>
      </c>
      <c r="O146" s="143"/>
    </row>
    <row r="147" spans="1:21">
      <c r="A147" s="409" t="b">
        <f>AND(IF(B147=SUMMARY!$B$11,TRUE,FALSE),IF(C147=SUMMARY!$B$12,TRUE,FALSE),IF(D147=SUMMARY!$B$28,TRUE,FALSE),IF(E147=SUMMARY!$B$10,TRUE,FALSE))</f>
        <v>0</v>
      </c>
      <c r="B147" s="149" t="s">
        <v>556</v>
      </c>
      <c r="C147" s="424" t="str">
        <f t="shared" si="47"/>
        <v>0% Oil Sands GREET</v>
      </c>
      <c r="D147" s="425" t="str">
        <f>Valuation!$B$7</f>
        <v>High</v>
      </c>
      <c r="E147" s="426" t="s">
        <v>51</v>
      </c>
      <c r="F147" s="445"/>
      <c r="G147" s="138">
        <v>90.718474076075665</v>
      </c>
      <c r="H147" s="796">
        <f>H135</f>
        <v>28.872276624375626</v>
      </c>
      <c r="I147" s="796">
        <f t="shared" ref="I147:N147" si="52">I135</f>
        <v>940.75601927734931</v>
      </c>
      <c r="J147" s="796">
        <f t="shared" si="52"/>
        <v>484.87982482915828</v>
      </c>
      <c r="K147" s="796">
        <f t="shared" si="52"/>
        <v>378.56465342863527</v>
      </c>
      <c r="L147" s="796">
        <f t="shared" si="52"/>
        <v>1581.6502871588971</v>
      </c>
      <c r="M147" s="796">
        <f t="shared" si="52"/>
        <v>2684.2426210795211</v>
      </c>
      <c r="N147" s="796">
        <f t="shared" si="52"/>
        <v>155.93740138618372</v>
      </c>
      <c r="O147" s="143"/>
    </row>
    <row r="148" spans="1:21">
      <c r="A148" s="409" t="b">
        <f>AND(IF(B148=SUMMARY!$B$11,TRUE,FALSE),IF(C148=SUMMARY!$B$12,TRUE,FALSE),IF(D148=SUMMARY!$B$28,TRUE,FALSE),IF(E148=SUMMARY!$B$10,TRUE,FALSE))</f>
        <v>0</v>
      </c>
      <c r="B148" s="149" t="s">
        <v>556</v>
      </c>
      <c r="C148" s="424" t="str">
        <f t="shared" si="47"/>
        <v>0% Oil Sands GREET</v>
      </c>
      <c r="D148" s="425" t="str">
        <f>Valuation!$B$7</f>
        <v>High</v>
      </c>
      <c r="E148" s="426" t="s">
        <v>96</v>
      </c>
      <c r="F148" s="445"/>
      <c r="G148" s="138">
        <v>90.718474076075665</v>
      </c>
      <c r="H148" s="796">
        <f t="shared" ref="H148:N150" si="53">H136</f>
        <v>121.40285884710198</v>
      </c>
      <c r="I148" s="796">
        <f t="shared" si="53"/>
        <v>552.2496181228513</v>
      </c>
      <c r="J148" s="796">
        <f t="shared" si="53"/>
        <v>1508.6702457947206</v>
      </c>
      <c r="K148" s="796">
        <f t="shared" si="53"/>
        <v>1591.7979653151988</v>
      </c>
      <c r="L148" s="796">
        <f t="shared" si="53"/>
        <v>9481.1963781810427</v>
      </c>
      <c r="M148" s="796">
        <f t="shared" si="53"/>
        <v>2936.3011797456747</v>
      </c>
      <c r="N148" s="796">
        <f t="shared" si="53"/>
        <v>914.20930535494551</v>
      </c>
      <c r="O148" s="143"/>
    </row>
    <row r="149" spans="1:21">
      <c r="A149" s="409" t="b">
        <f>AND(IF(B149=SUMMARY!$B$11,TRUE,FALSE),IF(C149=SUMMARY!$B$12,TRUE,FALSE),IF(D149=SUMMARY!$B$28,TRUE,FALSE),IF(E149=SUMMARY!$B$10,TRUE,FALSE))</f>
        <v>0</v>
      </c>
      <c r="B149" s="149" t="s">
        <v>556</v>
      </c>
      <c r="C149" s="424" t="str">
        <f t="shared" si="47"/>
        <v>0% Oil Sands GREET</v>
      </c>
      <c r="D149" s="425" t="str">
        <f>Valuation!$B$7</f>
        <v>High</v>
      </c>
      <c r="E149" s="426" t="s">
        <v>50</v>
      </c>
      <c r="F149" s="445"/>
      <c r="G149" s="138">
        <v>90.718474076075665</v>
      </c>
      <c r="H149" s="796">
        <f t="shared" si="53"/>
        <v>791.20116853623938</v>
      </c>
      <c r="I149" s="796">
        <f t="shared" si="53"/>
        <v>127620.4269372869</v>
      </c>
      <c r="J149" s="796">
        <f t="shared" si="53"/>
        <v>3.9091134790224644</v>
      </c>
      <c r="K149" s="796">
        <f t="shared" si="53"/>
        <v>10373.993019531414</v>
      </c>
      <c r="L149" s="796">
        <f t="shared" si="53"/>
        <v>81855.923260009004</v>
      </c>
      <c r="M149" s="796">
        <f t="shared" si="53"/>
        <v>16599.661850516619</v>
      </c>
      <c r="N149" s="796">
        <f t="shared" si="53"/>
        <v>7775.2780754830519</v>
      </c>
      <c r="O149" s="143"/>
    </row>
    <row r="150" spans="1:21">
      <c r="A150" s="411" t="b">
        <f>AND(IF(B150=SUMMARY!$B$11,TRUE,FALSE),IF(C150=SUMMARY!$B$12,TRUE,FALSE),IF(D150=SUMMARY!$B$28,TRUE,FALSE),IF(E150=SUMMARY!$B$10,TRUE,FALSE))</f>
        <v>0</v>
      </c>
      <c r="B150" s="430" t="s">
        <v>556</v>
      </c>
      <c r="C150" s="431" t="str">
        <f t="shared" si="47"/>
        <v>0% Oil Sands GREET</v>
      </c>
      <c r="D150" s="432" t="str">
        <f>Valuation!$B$7</f>
        <v>High</v>
      </c>
      <c r="E150" s="433" t="s">
        <v>410</v>
      </c>
      <c r="F150" s="446"/>
      <c r="G150" s="367">
        <v>90.718474076075651</v>
      </c>
      <c r="H150" s="797">
        <f t="shared" si="53"/>
        <v>190.97252351455793</v>
      </c>
      <c r="I150" s="797">
        <f t="shared" si="53"/>
        <v>16060.699854904535</v>
      </c>
      <c r="J150" s="797">
        <f t="shared" si="53"/>
        <v>2279.8656134269131</v>
      </c>
      <c r="K150" s="797">
        <f t="shared" si="53"/>
        <v>2503.9745953959377</v>
      </c>
      <c r="L150" s="797">
        <f t="shared" si="53"/>
        <v>17328.791864888779</v>
      </c>
      <c r="M150" s="797">
        <f t="shared" si="53"/>
        <v>5934.2528940232096</v>
      </c>
      <c r="N150" s="797">
        <f t="shared" si="53"/>
        <v>1657.7342798945515</v>
      </c>
      <c r="O150" s="143"/>
    </row>
    <row r="151" spans="1:21">
      <c r="A151" s="409" t="b">
        <f>AND(IF(B151=SUMMARY!$B$11,TRUE,FALSE),IF(C151=SUMMARY!$B$12,TRUE,FALSE),IF(D151=SUMMARY!$B$28,TRUE,FALSE),IF(E151=SUMMARY!$B$10,TRUE,FALSE))</f>
        <v>0</v>
      </c>
      <c r="B151" s="149" t="s">
        <v>556</v>
      </c>
      <c r="C151" s="424" t="str">
        <f t="shared" ref="C151:C166" si="54">$D$14</f>
        <v>9.4% Oil Sands GREET</v>
      </c>
      <c r="D151" s="425" t="str">
        <f>Valuation!$B$8</f>
        <v>Zero</v>
      </c>
      <c r="E151" s="426" t="s">
        <v>51</v>
      </c>
      <c r="F151" s="445"/>
      <c r="G151" s="138">
        <v>0</v>
      </c>
      <c r="H151" s="801">
        <v>39.915125884935975</v>
      </c>
      <c r="I151" s="801">
        <v>825.23892456478563</v>
      </c>
      <c r="J151" s="801">
        <v>933.42489427963892</v>
      </c>
      <c r="K151" s="801">
        <v>523.35518926256145</v>
      </c>
      <c r="L151" s="801">
        <v>2505.9717476726246</v>
      </c>
      <c r="M151" s="801">
        <v>1394.032689367943</v>
      </c>
      <c r="N151" s="801">
        <v>248.00247853757395</v>
      </c>
      <c r="O151" s="143"/>
      <c r="P151" s="541"/>
      <c r="Q151" s="541"/>
      <c r="R151" s="541"/>
      <c r="S151" s="541"/>
      <c r="T151" s="541"/>
      <c r="U151" s="541"/>
    </row>
    <row r="152" spans="1:21">
      <c r="A152" s="409" t="b">
        <f>AND(IF(B152=SUMMARY!$B$11,TRUE,FALSE),IF(C152=SUMMARY!$B$12,TRUE,FALSE),IF(D152=SUMMARY!$B$28,TRUE,FALSE),IF(E152=SUMMARY!$B$10,TRUE,FALSE))</f>
        <v>0</v>
      </c>
      <c r="B152" s="149" t="s">
        <v>556</v>
      </c>
      <c r="C152" s="424" t="str">
        <f t="shared" si="54"/>
        <v>9.4% Oil Sands GREET</v>
      </c>
      <c r="D152" s="425" t="str">
        <f>Valuation!$B$8</f>
        <v>Zero</v>
      </c>
      <c r="E152" s="426" t="s">
        <v>96</v>
      </c>
      <c r="F152" s="445"/>
      <c r="G152" s="138">
        <v>0</v>
      </c>
      <c r="H152" s="801">
        <v>121.40285884710198</v>
      </c>
      <c r="I152" s="801">
        <v>552.2496181228513</v>
      </c>
      <c r="J152" s="801">
        <v>1508.6702457947206</v>
      </c>
      <c r="K152" s="801">
        <v>1591.7979653151988</v>
      </c>
      <c r="L152" s="801">
        <v>9481.1963781810427</v>
      </c>
      <c r="M152" s="801">
        <v>2936.3011797456747</v>
      </c>
      <c r="N152" s="801">
        <v>914.20930535494551</v>
      </c>
      <c r="O152" s="143"/>
      <c r="P152" s="541"/>
      <c r="Q152" s="541"/>
      <c r="R152" s="541"/>
      <c r="S152" s="541"/>
      <c r="T152" s="541"/>
      <c r="U152" s="541"/>
    </row>
    <row r="153" spans="1:21">
      <c r="A153" s="409" t="b">
        <f>AND(IF(B153=SUMMARY!$B$11,TRUE,FALSE),IF(C153=SUMMARY!$B$12,TRUE,FALSE),IF(D153=SUMMARY!$B$28,TRUE,FALSE),IF(E153=SUMMARY!$B$10,TRUE,FALSE))</f>
        <v>0</v>
      </c>
      <c r="B153" s="149" t="s">
        <v>556</v>
      </c>
      <c r="C153" s="424" t="str">
        <f t="shared" si="54"/>
        <v>9.4% Oil Sands GREET</v>
      </c>
      <c r="D153" s="425" t="str">
        <f>Valuation!$B$8</f>
        <v>Zero</v>
      </c>
      <c r="E153" s="426" t="s">
        <v>50</v>
      </c>
      <c r="F153" s="445"/>
      <c r="G153" s="138">
        <v>0</v>
      </c>
      <c r="H153" s="801">
        <v>791.20116853623938</v>
      </c>
      <c r="I153" s="801">
        <v>127620.4269372869</v>
      </c>
      <c r="J153" s="801">
        <v>3.9091134790224644</v>
      </c>
      <c r="K153" s="801">
        <v>10373.993019531414</v>
      </c>
      <c r="L153" s="801">
        <v>81855.923260009004</v>
      </c>
      <c r="M153" s="801">
        <v>16599.661850516619</v>
      </c>
      <c r="N153" s="801">
        <v>7775.2780754830519</v>
      </c>
      <c r="O153" s="143"/>
      <c r="P153" s="541"/>
      <c r="Q153" s="541"/>
      <c r="R153" s="541"/>
      <c r="S153" s="541"/>
      <c r="T153" s="541"/>
      <c r="U153" s="541"/>
    </row>
    <row r="154" spans="1:21">
      <c r="A154" s="409" t="b">
        <f>AND(IF(B154=SUMMARY!$B$11,TRUE,FALSE),IF(C154=SUMMARY!$B$12,TRUE,FALSE),IF(D154=SUMMARY!$B$28,TRUE,FALSE),IF(E154=SUMMARY!$B$10,TRUE,FALSE))</f>
        <v>0</v>
      </c>
      <c r="B154" s="149" t="s">
        <v>556</v>
      </c>
      <c r="C154" s="424" t="str">
        <f t="shared" si="54"/>
        <v>9.4% Oil Sands GREET</v>
      </c>
      <c r="D154" s="425" t="str">
        <f>Valuation!$B$8</f>
        <v>Zero</v>
      </c>
      <c r="E154" s="439" t="s">
        <v>410</v>
      </c>
      <c r="F154" s="445"/>
      <c r="G154" s="138">
        <v>0</v>
      </c>
      <c r="H154" s="801">
        <v>190.97252351455793</v>
      </c>
      <c r="I154" s="801">
        <v>16060.699854904535</v>
      </c>
      <c r="J154" s="801">
        <v>2279.8656134269131</v>
      </c>
      <c r="K154" s="801">
        <v>2503.9745953959377</v>
      </c>
      <c r="L154" s="801">
        <v>17328.791864888779</v>
      </c>
      <c r="M154" s="801">
        <v>5934.2528940232096</v>
      </c>
      <c r="N154" s="801">
        <v>1657.7342798945515</v>
      </c>
      <c r="O154" s="143"/>
      <c r="P154" s="541"/>
      <c r="Q154" s="541"/>
      <c r="R154" s="541"/>
      <c r="S154" s="541"/>
      <c r="T154" s="541"/>
      <c r="U154" s="541"/>
    </row>
    <row r="155" spans="1:21">
      <c r="A155" s="409" t="b">
        <f>AND(IF(B155=SUMMARY!$B$11,TRUE,FALSE),IF(C155=SUMMARY!$B$12,TRUE,FALSE),IF(D155=SUMMARY!$B$28,TRUE,FALSE),IF(E155=SUMMARY!$B$10,TRUE,FALSE))</f>
        <v>0</v>
      </c>
      <c r="B155" s="149" t="s">
        <v>556</v>
      </c>
      <c r="C155" s="424" t="str">
        <f t="shared" si="54"/>
        <v>9.4% Oil Sands GREET</v>
      </c>
      <c r="D155" s="425" t="str">
        <f>Valuation!$B$5</f>
        <v>Low</v>
      </c>
      <c r="E155" s="426" t="s">
        <v>51</v>
      </c>
      <c r="F155" s="445"/>
      <c r="G155" s="138">
        <v>9.0718474076075672</v>
      </c>
      <c r="H155" s="796">
        <f>H151</f>
        <v>39.915125884935975</v>
      </c>
      <c r="I155" s="796">
        <f t="shared" ref="I155:N155" si="55">I151</f>
        <v>825.23892456478563</v>
      </c>
      <c r="J155" s="796">
        <f t="shared" si="55"/>
        <v>933.42489427963892</v>
      </c>
      <c r="K155" s="796">
        <f t="shared" si="55"/>
        <v>523.35518926256145</v>
      </c>
      <c r="L155" s="796">
        <f t="shared" si="55"/>
        <v>2505.9717476726246</v>
      </c>
      <c r="M155" s="796">
        <f t="shared" si="55"/>
        <v>1394.032689367943</v>
      </c>
      <c r="N155" s="796">
        <f t="shared" si="55"/>
        <v>248.00247853757395</v>
      </c>
      <c r="O155" s="143"/>
    </row>
    <row r="156" spans="1:21">
      <c r="A156" s="409" t="b">
        <f>AND(IF(B156=SUMMARY!$B$11,TRUE,FALSE),IF(C156=SUMMARY!$B$12,TRUE,FALSE),IF(D156=SUMMARY!$B$28,TRUE,FALSE),IF(E156=SUMMARY!$B$10,TRUE,FALSE))</f>
        <v>0</v>
      </c>
      <c r="B156" s="149" t="s">
        <v>556</v>
      </c>
      <c r="C156" s="424" t="str">
        <f t="shared" si="54"/>
        <v>9.4% Oil Sands GREET</v>
      </c>
      <c r="D156" s="425" t="str">
        <f>Valuation!$B$5</f>
        <v>Low</v>
      </c>
      <c r="E156" s="426" t="s">
        <v>96</v>
      </c>
      <c r="F156" s="445"/>
      <c r="G156" s="138">
        <v>9.0718474076075672</v>
      </c>
      <c r="H156" s="796">
        <f t="shared" ref="H156:N158" si="56">H152</f>
        <v>121.40285884710198</v>
      </c>
      <c r="I156" s="796">
        <f t="shared" si="56"/>
        <v>552.2496181228513</v>
      </c>
      <c r="J156" s="796">
        <f t="shared" si="56"/>
        <v>1508.6702457947206</v>
      </c>
      <c r="K156" s="796">
        <f t="shared" si="56"/>
        <v>1591.7979653151988</v>
      </c>
      <c r="L156" s="796">
        <f t="shared" si="56"/>
        <v>9481.1963781810427</v>
      </c>
      <c r="M156" s="796">
        <f t="shared" si="56"/>
        <v>2936.3011797456747</v>
      </c>
      <c r="N156" s="796">
        <f t="shared" si="56"/>
        <v>914.20930535494551</v>
      </c>
      <c r="O156" s="143"/>
    </row>
    <row r="157" spans="1:21">
      <c r="A157" s="409" t="b">
        <f>AND(IF(B157=SUMMARY!$B$11,TRUE,FALSE),IF(C157=SUMMARY!$B$12,TRUE,FALSE),IF(D157=SUMMARY!$B$28,TRUE,FALSE),IF(E157=SUMMARY!$B$10,TRUE,FALSE))</f>
        <v>0</v>
      </c>
      <c r="B157" s="149" t="s">
        <v>556</v>
      </c>
      <c r="C157" s="424" t="str">
        <f t="shared" si="54"/>
        <v>9.4% Oil Sands GREET</v>
      </c>
      <c r="D157" s="425" t="str">
        <f>Valuation!$B$5</f>
        <v>Low</v>
      </c>
      <c r="E157" s="426" t="s">
        <v>50</v>
      </c>
      <c r="F157" s="445"/>
      <c r="G157" s="138">
        <v>9.0718474076075672</v>
      </c>
      <c r="H157" s="796">
        <f t="shared" si="56"/>
        <v>791.20116853623938</v>
      </c>
      <c r="I157" s="796">
        <f t="shared" si="56"/>
        <v>127620.4269372869</v>
      </c>
      <c r="J157" s="796">
        <f t="shared" si="56"/>
        <v>3.9091134790224644</v>
      </c>
      <c r="K157" s="796">
        <f t="shared" si="56"/>
        <v>10373.993019531414</v>
      </c>
      <c r="L157" s="796">
        <f t="shared" si="56"/>
        <v>81855.923260009004</v>
      </c>
      <c r="M157" s="796">
        <f t="shared" si="56"/>
        <v>16599.661850516619</v>
      </c>
      <c r="N157" s="796">
        <f t="shared" si="56"/>
        <v>7775.2780754830519</v>
      </c>
      <c r="O157" s="143"/>
    </row>
    <row r="158" spans="1:21">
      <c r="A158" s="409" t="b">
        <f>AND(IF(B158=SUMMARY!$B$11,TRUE,FALSE),IF(C158=SUMMARY!$B$12,TRUE,FALSE),IF(D158=SUMMARY!$B$28,TRUE,FALSE),IF(E158=SUMMARY!$B$10,TRUE,FALSE))</f>
        <v>0</v>
      </c>
      <c r="B158" s="149" t="s">
        <v>556</v>
      </c>
      <c r="C158" s="424" t="str">
        <f t="shared" si="54"/>
        <v>9.4% Oil Sands GREET</v>
      </c>
      <c r="D158" s="425" t="str">
        <f>Valuation!$B$5</f>
        <v>Low</v>
      </c>
      <c r="E158" s="439" t="s">
        <v>410</v>
      </c>
      <c r="F158" s="445"/>
      <c r="G158" s="138">
        <v>9.0718474076075672</v>
      </c>
      <c r="H158" s="796">
        <f t="shared" si="56"/>
        <v>190.97252351455793</v>
      </c>
      <c r="I158" s="796">
        <f t="shared" si="56"/>
        <v>16060.699854904535</v>
      </c>
      <c r="J158" s="796">
        <f t="shared" si="56"/>
        <v>2279.8656134269131</v>
      </c>
      <c r="K158" s="796">
        <f t="shared" si="56"/>
        <v>2503.9745953959377</v>
      </c>
      <c r="L158" s="796">
        <f t="shared" si="56"/>
        <v>17328.791864888779</v>
      </c>
      <c r="M158" s="796">
        <f t="shared" si="56"/>
        <v>5934.2528940232096</v>
      </c>
      <c r="N158" s="796">
        <f t="shared" si="56"/>
        <v>1657.7342798945515</v>
      </c>
      <c r="O158" s="143"/>
    </row>
    <row r="159" spans="1:21">
      <c r="A159" s="450" t="b">
        <f>AND(IF(B159=SUMMARY!$B$11,TRUE,FALSE),IF(C159=SUMMARY!$B$12,TRUE,FALSE),IF(D159=SUMMARY!$B$28,TRUE,FALSE),IF(E159=SUMMARY!$B$10,TRUE,FALSE))</f>
        <v>0</v>
      </c>
      <c r="B159" s="451" t="s">
        <v>556</v>
      </c>
      <c r="C159" s="452" t="str">
        <f t="shared" si="54"/>
        <v>9.4% Oil Sands GREET</v>
      </c>
      <c r="D159" s="453" t="str">
        <f>Valuation!$B$6</f>
        <v>Medium</v>
      </c>
      <c r="E159" s="459" t="s">
        <v>51</v>
      </c>
      <c r="F159" s="460"/>
      <c r="G159" s="461">
        <v>27.215542222822698</v>
      </c>
      <c r="H159" s="799">
        <f>H151</f>
        <v>39.915125884935975</v>
      </c>
      <c r="I159" s="799">
        <f t="shared" ref="I159:N159" si="57">I151</f>
        <v>825.23892456478563</v>
      </c>
      <c r="J159" s="799">
        <f t="shared" si="57"/>
        <v>933.42489427963892</v>
      </c>
      <c r="K159" s="799">
        <f t="shared" si="57"/>
        <v>523.35518926256145</v>
      </c>
      <c r="L159" s="799">
        <f t="shared" si="57"/>
        <v>2505.9717476726246</v>
      </c>
      <c r="M159" s="799">
        <f t="shared" si="57"/>
        <v>1394.032689367943</v>
      </c>
      <c r="N159" s="799">
        <f t="shared" si="57"/>
        <v>248.00247853757395</v>
      </c>
      <c r="O159" s="143"/>
    </row>
    <row r="160" spans="1:21">
      <c r="A160" s="409" t="b">
        <f>AND(IF(B160=SUMMARY!$B$11,TRUE,FALSE),IF(C160=SUMMARY!$B$12,TRUE,FALSE),IF(D160=SUMMARY!$B$28,TRUE,FALSE),IF(E160=SUMMARY!$B$10,TRUE,FALSE))</f>
        <v>0</v>
      </c>
      <c r="B160" s="149" t="s">
        <v>556</v>
      </c>
      <c r="C160" s="424" t="str">
        <f t="shared" si="54"/>
        <v>9.4% Oil Sands GREET</v>
      </c>
      <c r="D160" s="425" t="str">
        <f>Valuation!$B$6</f>
        <v>Medium</v>
      </c>
      <c r="E160" s="426" t="s">
        <v>96</v>
      </c>
      <c r="F160" s="445"/>
      <c r="G160" s="138">
        <v>27.215542222822698</v>
      </c>
      <c r="H160" s="796">
        <f t="shared" ref="H160:N162" si="58">H152</f>
        <v>121.40285884710198</v>
      </c>
      <c r="I160" s="796">
        <f t="shared" si="58"/>
        <v>552.2496181228513</v>
      </c>
      <c r="J160" s="796">
        <f t="shared" si="58"/>
        <v>1508.6702457947206</v>
      </c>
      <c r="K160" s="796">
        <f t="shared" si="58"/>
        <v>1591.7979653151988</v>
      </c>
      <c r="L160" s="796">
        <f t="shared" si="58"/>
        <v>9481.1963781810427</v>
      </c>
      <c r="M160" s="796">
        <f t="shared" si="58"/>
        <v>2936.3011797456747</v>
      </c>
      <c r="N160" s="796">
        <f t="shared" si="58"/>
        <v>914.20930535494551</v>
      </c>
      <c r="O160" s="143"/>
    </row>
    <row r="161" spans="1:21">
      <c r="A161" s="409" t="b">
        <f>AND(IF(B161=SUMMARY!$B$11,TRUE,FALSE),IF(C161=SUMMARY!$B$12,TRUE,FALSE),IF(D161=SUMMARY!$B$28,TRUE,FALSE),IF(E161=SUMMARY!$B$10,TRUE,FALSE))</f>
        <v>0</v>
      </c>
      <c r="B161" s="149" t="s">
        <v>556</v>
      </c>
      <c r="C161" s="424" t="str">
        <f t="shared" si="54"/>
        <v>9.4% Oil Sands GREET</v>
      </c>
      <c r="D161" s="425" t="str">
        <f>Valuation!$B$6</f>
        <v>Medium</v>
      </c>
      <c r="E161" s="426" t="s">
        <v>50</v>
      </c>
      <c r="F161" s="445"/>
      <c r="G161" s="138">
        <v>27.215542222822698</v>
      </c>
      <c r="H161" s="796">
        <f t="shared" si="58"/>
        <v>791.20116853623938</v>
      </c>
      <c r="I161" s="796">
        <f t="shared" si="58"/>
        <v>127620.4269372869</v>
      </c>
      <c r="J161" s="796">
        <f t="shared" si="58"/>
        <v>3.9091134790224644</v>
      </c>
      <c r="K161" s="796">
        <f t="shared" si="58"/>
        <v>10373.993019531414</v>
      </c>
      <c r="L161" s="796">
        <f t="shared" si="58"/>
        <v>81855.923260009004</v>
      </c>
      <c r="M161" s="796">
        <f t="shared" si="58"/>
        <v>16599.661850516619</v>
      </c>
      <c r="N161" s="796">
        <f t="shared" si="58"/>
        <v>7775.2780754830519</v>
      </c>
      <c r="O161" s="143"/>
    </row>
    <row r="162" spans="1:21">
      <c r="A162" s="409" t="b">
        <f>AND(IF(B162=SUMMARY!$B$11,TRUE,FALSE),IF(C162=SUMMARY!$B$12,TRUE,FALSE),IF(D162=SUMMARY!$B$28,TRUE,FALSE),IF(E162=SUMMARY!$B$10,TRUE,FALSE))</f>
        <v>1</v>
      </c>
      <c r="B162" s="149" t="s">
        <v>556</v>
      </c>
      <c r="C162" s="424" t="str">
        <f t="shared" si="54"/>
        <v>9.4% Oil Sands GREET</v>
      </c>
      <c r="D162" s="425" t="str">
        <f>Valuation!$B$6</f>
        <v>Medium</v>
      </c>
      <c r="E162" s="439" t="s">
        <v>410</v>
      </c>
      <c r="F162" s="445"/>
      <c r="G162" s="138">
        <v>27.215542222822695</v>
      </c>
      <c r="H162" s="796">
        <f t="shared" si="58"/>
        <v>190.97252351455793</v>
      </c>
      <c r="I162" s="796">
        <f t="shared" si="58"/>
        <v>16060.699854904535</v>
      </c>
      <c r="J162" s="796">
        <f t="shared" si="58"/>
        <v>2279.8656134269131</v>
      </c>
      <c r="K162" s="796">
        <f t="shared" si="58"/>
        <v>2503.9745953959377</v>
      </c>
      <c r="L162" s="796">
        <f t="shared" si="58"/>
        <v>17328.791864888779</v>
      </c>
      <c r="M162" s="796">
        <f t="shared" si="58"/>
        <v>5934.2528940232096</v>
      </c>
      <c r="N162" s="796">
        <f t="shared" si="58"/>
        <v>1657.7342798945515</v>
      </c>
      <c r="O162" s="143"/>
    </row>
    <row r="163" spans="1:21">
      <c r="A163" s="409" t="b">
        <f>AND(IF(B163=SUMMARY!$B$11,TRUE,FALSE),IF(C163=SUMMARY!$B$12,TRUE,FALSE),IF(D163=SUMMARY!$B$28,TRUE,FALSE),IF(E163=SUMMARY!$B$10,TRUE,FALSE))</f>
        <v>0</v>
      </c>
      <c r="B163" s="149" t="s">
        <v>556</v>
      </c>
      <c r="C163" s="424" t="str">
        <f t="shared" si="54"/>
        <v>9.4% Oil Sands GREET</v>
      </c>
      <c r="D163" s="425" t="str">
        <f>Valuation!$B$7</f>
        <v>High</v>
      </c>
      <c r="E163" s="426" t="s">
        <v>51</v>
      </c>
      <c r="F163" s="445"/>
      <c r="G163" s="138">
        <v>90.718474076075665</v>
      </c>
      <c r="H163" s="796">
        <f>H151</f>
        <v>39.915125884935975</v>
      </c>
      <c r="I163" s="796">
        <f t="shared" ref="I163:N163" si="59">I151</f>
        <v>825.23892456478563</v>
      </c>
      <c r="J163" s="796">
        <f t="shared" si="59"/>
        <v>933.42489427963892</v>
      </c>
      <c r="K163" s="796">
        <f t="shared" si="59"/>
        <v>523.35518926256145</v>
      </c>
      <c r="L163" s="796">
        <f t="shared" si="59"/>
        <v>2505.9717476726246</v>
      </c>
      <c r="M163" s="796">
        <f t="shared" si="59"/>
        <v>1394.032689367943</v>
      </c>
      <c r="N163" s="796">
        <f t="shared" si="59"/>
        <v>248.00247853757395</v>
      </c>
      <c r="O163" s="143"/>
    </row>
    <row r="164" spans="1:21">
      <c r="A164" s="409" t="b">
        <f>AND(IF(B164=SUMMARY!$B$11,TRUE,FALSE),IF(C164=SUMMARY!$B$12,TRUE,FALSE),IF(D164=SUMMARY!$B$28,TRUE,FALSE),IF(E164=SUMMARY!$B$10,TRUE,FALSE))</f>
        <v>0</v>
      </c>
      <c r="B164" s="149" t="s">
        <v>556</v>
      </c>
      <c r="C164" s="424" t="str">
        <f t="shared" si="54"/>
        <v>9.4% Oil Sands GREET</v>
      </c>
      <c r="D164" s="425" t="str">
        <f>Valuation!$B$7</f>
        <v>High</v>
      </c>
      <c r="E164" s="426" t="s">
        <v>96</v>
      </c>
      <c r="F164" s="445"/>
      <c r="G164" s="138">
        <v>90.718474076075665</v>
      </c>
      <c r="H164" s="796">
        <f t="shared" ref="H164:N166" si="60">H152</f>
        <v>121.40285884710198</v>
      </c>
      <c r="I164" s="796">
        <f t="shared" si="60"/>
        <v>552.2496181228513</v>
      </c>
      <c r="J164" s="796">
        <f t="shared" si="60"/>
        <v>1508.6702457947206</v>
      </c>
      <c r="K164" s="796">
        <f t="shared" si="60"/>
        <v>1591.7979653151988</v>
      </c>
      <c r="L164" s="796">
        <f t="shared" si="60"/>
        <v>9481.1963781810427</v>
      </c>
      <c r="M164" s="796">
        <f t="shared" si="60"/>
        <v>2936.3011797456747</v>
      </c>
      <c r="N164" s="796">
        <f t="shared" si="60"/>
        <v>914.20930535494551</v>
      </c>
      <c r="O164" s="143"/>
    </row>
    <row r="165" spans="1:21">
      <c r="A165" s="409" t="b">
        <f>AND(IF(B165=SUMMARY!$B$11,TRUE,FALSE),IF(C165=SUMMARY!$B$12,TRUE,FALSE),IF(D165=SUMMARY!$B$28,TRUE,FALSE),IF(E165=SUMMARY!$B$10,TRUE,FALSE))</f>
        <v>0</v>
      </c>
      <c r="B165" s="149" t="s">
        <v>556</v>
      </c>
      <c r="C165" s="424" t="str">
        <f t="shared" si="54"/>
        <v>9.4% Oil Sands GREET</v>
      </c>
      <c r="D165" s="425" t="str">
        <f>Valuation!$B$7</f>
        <v>High</v>
      </c>
      <c r="E165" s="426" t="s">
        <v>50</v>
      </c>
      <c r="F165" s="445"/>
      <c r="G165" s="138">
        <v>90.718474076075665</v>
      </c>
      <c r="H165" s="796">
        <f t="shared" si="60"/>
        <v>791.20116853623938</v>
      </c>
      <c r="I165" s="796">
        <f t="shared" si="60"/>
        <v>127620.4269372869</v>
      </c>
      <c r="J165" s="796">
        <f t="shared" si="60"/>
        <v>3.9091134790224644</v>
      </c>
      <c r="K165" s="796">
        <f t="shared" si="60"/>
        <v>10373.993019531414</v>
      </c>
      <c r="L165" s="796">
        <f t="shared" si="60"/>
        <v>81855.923260009004</v>
      </c>
      <c r="M165" s="796">
        <f t="shared" si="60"/>
        <v>16599.661850516619</v>
      </c>
      <c r="N165" s="796">
        <f t="shared" si="60"/>
        <v>7775.2780754830519</v>
      </c>
      <c r="O165" s="143"/>
    </row>
    <row r="166" spans="1:21">
      <c r="A166" s="411" t="b">
        <f>AND(IF(B166=SUMMARY!$B$11,TRUE,FALSE),IF(C166=SUMMARY!$B$12,TRUE,FALSE),IF(D166=SUMMARY!$B$28,TRUE,FALSE),IF(E166=SUMMARY!$B$10,TRUE,FALSE))</f>
        <v>0</v>
      </c>
      <c r="B166" s="430" t="s">
        <v>556</v>
      </c>
      <c r="C166" s="431" t="str">
        <f t="shared" si="54"/>
        <v>9.4% Oil Sands GREET</v>
      </c>
      <c r="D166" s="432" t="str">
        <f>Valuation!$B$7</f>
        <v>High</v>
      </c>
      <c r="E166" s="433" t="s">
        <v>410</v>
      </c>
      <c r="F166" s="446"/>
      <c r="G166" s="367">
        <v>90.718474076075651</v>
      </c>
      <c r="H166" s="797">
        <f t="shared" si="60"/>
        <v>190.97252351455793</v>
      </c>
      <c r="I166" s="797">
        <f t="shared" si="60"/>
        <v>16060.699854904535</v>
      </c>
      <c r="J166" s="797">
        <f t="shared" si="60"/>
        <v>2279.8656134269131</v>
      </c>
      <c r="K166" s="797">
        <f t="shared" si="60"/>
        <v>2503.9745953959377</v>
      </c>
      <c r="L166" s="797">
        <f t="shared" si="60"/>
        <v>17328.791864888779</v>
      </c>
      <c r="M166" s="797">
        <f t="shared" si="60"/>
        <v>5934.2528940232096</v>
      </c>
      <c r="N166" s="797">
        <f t="shared" si="60"/>
        <v>1657.7342798945515</v>
      </c>
      <c r="O166" s="143"/>
    </row>
    <row r="167" spans="1:21">
      <c r="A167" s="409" t="b">
        <f>AND(IF(B167=SUMMARY!$B$11,TRUE,FALSE),IF(C167=SUMMARY!$B$12,TRUE,FALSE),IF(D167=SUMMARY!$B$28,TRUE,FALSE),IF(E167=SUMMARY!$B$10,TRUE,FALSE))</f>
        <v>0</v>
      </c>
      <c r="B167" s="149" t="s">
        <v>556</v>
      </c>
      <c r="C167" s="424" t="str">
        <f t="shared" ref="C167:C182" si="61">$D$15</f>
        <v>100% Oil Sands GREET</v>
      </c>
      <c r="D167" s="425" t="str">
        <f>Valuation!$B$8</f>
        <v>Zero</v>
      </c>
      <c r="E167" s="426" t="s">
        <v>51</v>
      </c>
      <c r="F167" s="445"/>
      <c r="G167" s="138">
        <v>0</v>
      </c>
      <c r="H167" s="801">
        <v>25.512480129055938</v>
      </c>
      <c r="I167" s="801">
        <v>539.89203830268252</v>
      </c>
      <c r="J167" s="801">
        <v>575.58480099419467</v>
      </c>
      <c r="K167" s="801">
        <v>334.51200692664003</v>
      </c>
      <c r="L167" s="801">
        <v>1541.2143417089678</v>
      </c>
      <c r="M167" s="801">
        <v>2821.2039301311352</v>
      </c>
      <c r="N167" s="801">
        <v>153.0378446357409</v>
      </c>
      <c r="O167" s="143"/>
      <c r="P167" s="541"/>
      <c r="Q167" s="541"/>
      <c r="R167" s="541"/>
      <c r="S167" s="541"/>
      <c r="T167" s="541"/>
      <c r="U167" s="541"/>
    </row>
    <row r="168" spans="1:21">
      <c r="A168" s="409" t="b">
        <f>AND(IF(B168=SUMMARY!$B$11,TRUE,FALSE),IF(C168=SUMMARY!$B$12,TRUE,FALSE),IF(D168=SUMMARY!$B$28,TRUE,FALSE),IF(E168=SUMMARY!$B$10,TRUE,FALSE))</f>
        <v>0</v>
      </c>
      <c r="B168" s="149" t="s">
        <v>556</v>
      </c>
      <c r="C168" s="424" t="str">
        <f t="shared" si="61"/>
        <v>100% Oil Sands GREET</v>
      </c>
      <c r="D168" s="425" t="str">
        <f>Valuation!$B$8</f>
        <v>Zero</v>
      </c>
      <c r="E168" s="426" t="s">
        <v>96</v>
      </c>
      <c r="F168" s="445"/>
      <c r="G168" s="138">
        <v>0</v>
      </c>
      <c r="H168" s="801">
        <v>73.173051829114939</v>
      </c>
      <c r="I168" s="801">
        <v>1219.4000803638678</v>
      </c>
      <c r="J168" s="801">
        <v>2146.7400710966126</v>
      </c>
      <c r="K168" s="801">
        <v>959.42316452516673</v>
      </c>
      <c r="L168" s="801">
        <v>6524.4744699208441</v>
      </c>
      <c r="M168" s="801">
        <v>1759.6245111555645</v>
      </c>
      <c r="N168" s="801">
        <v>633.91983885205718</v>
      </c>
      <c r="O168" s="143"/>
      <c r="P168" s="541"/>
      <c r="Q168" s="541"/>
      <c r="R168" s="541"/>
      <c r="S168" s="541"/>
      <c r="T168" s="541"/>
      <c r="U168" s="541"/>
    </row>
    <row r="169" spans="1:21">
      <c r="A169" s="409" t="b">
        <f>AND(IF(B169=SUMMARY!$B$11,TRUE,FALSE),IF(C169=SUMMARY!$B$12,TRUE,FALSE),IF(D169=SUMMARY!$B$28,TRUE,FALSE),IF(E169=SUMMARY!$B$10,TRUE,FALSE))</f>
        <v>0</v>
      </c>
      <c r="B169" s="149" t="s">
        <v>556</v>
      </c>
      <c r="C169" s="424" t="str">
        <f t="shared" si="61"/>
        <v>100% Oil Sands GREET</v>
      </c>
      <c r="D169" s="425" t="str">
        <f>Valuation!$B$8</f>
        <v>Zero</v>
      </c>
      <c r="E169" s="426" t="s">
        <v>50</v>
      </c>
      <c r="F169" s="445"/>
      <c r="G169" s="138">
        <v>0</v>
      </c>
      <c r="H169" s="801">
        <v>434.9654970814824</v>
      </c>
      <c r="I169" s="801">
        <v>31453.247086796204</v>
      </c>
      <c r="J169" s="801">
        <v>1088.9468103162255</v>
      </c>
      <c r="K169" s="801">
        <v>5703.1374698401132</v>
      </c>
      <c r="L169" s="801">
        <v>33691.743578318179</v>
      </c>
      <c r="M169" s="801">
        <v>28442.999464461634</v>
      </c>
      <c r="N169" s="801">
        <v>3197.7117660164445</v>
      </c>
      <c r="O169" s="143"/>
      <c r="P169" s="541"/>
      <c r="Q169" s="541"/>
      <c r="R169" s="541"/>
      <c r="S169" s="541"/>
      <c r="T169" s="541"/>
      <c r="U169" s="541"/>
    </row>
    <row r="170" spans="1:21">
      <c r="A170" s="409" t="b">
        <f>AND(IF(B170=SUMMARY!$B$11,TRUE,FALSE),IF(C170=SUMMARY!$B$12,TRUE,FALSE),IF(D170=SUMMARY!$B$28,TRUE,FALSE),IF(E170=SUMMARY!$B$10,TRUE,FALSE))</f>
        <v>0</v>
      </c>
      <c r="B170" s="149" t="s">
        <v>556</v>
      </c>
      <c r="C170" s="424" t="str">
        <f t="shared" si="61"/>
        <v>100% Oil Sands GREET</v>
      </c>
      <c r="D170" s="425" t="str">
        <f>Valuation!$B$8</f>
        <v>Zero</v>
      </c>
      <c r="E170" s="439" t="s">
        <v>410</v>
      </c>
      <c r="F170" s="445"/>
      <c r="G170" s="138">
        <v>0</v>
      </c>
      <c r="H170" s="801">
        <v>190.97252351455793</v>
      </c>
      <c r="I170" s="801">
        <v>16060.699854904535</v>
      </c>
      <c r="J170" s="801">
        <v>2279.8656134269131</v>
      </c>
      <c r="K170" s="801">
        <v>2503.9745953959377</v>
      </c>
      <c r="L170" s="801">
        <v>17328.791864888779</v>
      </c>
      <c r="M170" s="801">
        <v>5934.2528940232096</v>
      </c>
      <c r="N170" s="801">
        <v>1657.7342798945515</v>
      </c>
      <c r="O170" s="143"/>
      <c r="P170" s="541"/>
      <c r="Q170" s="541"/>
      <c r="R170" s="541"/>
      <c r="S170" s="541"/>
      <c r="T170" s="541"/>
      <c r="U170" s="541"/>
    </row>
    <row r="171" spans="1:21">
      <c r="A171" s="409" t="b">
        <f>AND(IF(B171=SUMMARY!$B$11,TRUE,FALSE),IF(C171=SUMMARY!$B$12,TRUE,FALSE),IF(D171=SUMMARY!$B$28,TRUE,FALSE),IF(E171=SUMMARY!$B$10,TRUE,FALSE))</f>
        <v>0</v>
      </c>
      <c r="B171" s="149" t="s">
        <v>556</v>
      </c>
      <c r="C171" s="424" t="str">
        <f t="shared" si="61"/>
        <v>100% Oil Sands GREET</v>
      </c>
      <c r="D171" s="425" t="str">
        <f>Valuation!$B$5</f>
        <v>Low</v>
      </c>
      <c r="E171" s="426" t="s">
        <v>51</v>
      </c>
      <c r="F171" s="445"/>
      <c r="G171" s="138">
        <v>9.0718474076075672</v>
      </c>
      <c r="H171" s="796">
        <f>H167</f>
        <v>25.512480129055938</v>
      </c>
      <c r="I171" s="796">
        <f t="shared" ref="I171:N171" si="62">I167</f>
        <v>539.89203830268252</v>
      </c>
      <c r="J171" s="796">
        <f t="shared" si="62"/>
        <v>575.58480099419467</v>
      </c>
      <c r="K171" s="796">
        <f t="shared" si="62"/>
        <v>334.51200692664003</v>
      </c>
      <c r="L171" s="796">
        <f t="shared" si="62"/>
        <v>1541.2143417089678</v>
      </c>
      <c r="M171" s="796">
        <f t="shared" si="62"/>
        <v>2821.2039301311352</v>
      </c>
      <c r="N171" s="796">
        <f t="shared" si="62"/>
        <v>153.0378446357409</v>
      </c>
      <c r="O171" s="143"/>
    </row>
    <row r="172" spans="1:21">
      <c r="A172" s="409" t="b">
        <f>AND(IF(B172=SUMMARY!$B$11,TRUE,FALSE),IF(C172=SUMMARY!$B$12,TRUE,FALSE),IF(D172=SUMMARY!$B$28,TRUE,FALSE),IF(E172=SUMMARY!$B$10,TRUE,FALSE))</f>
        <v>0</v>
      </c>
      <c r="B172" s="149" t="s">
        <v>556</v>
      </c>
      <c r="C172" s="424" t="str">
        <f t="shared" si="61"/>
        <v>100% Oil Sands GREET</v>
      </c>
      <c r="D172" s="425" t="str">
        <f>Valuation!$B$5</f>
        <v>Low</v>
      </c>
      <c r="E172" s="426" t="s">
        <v>96</v>
      </c>
      <c r="F172" s="445"/>
      <c r="G172" s="138">
        <v>9.0718474076075672</v>
      </c>
      <c r="H172" s="796">
        <f t="shared" ref="H172:N174" si="63">H168</f>
        <v>73.173051829114939</v>
      </c>
      <c r="I172" s="796">
        <f t="shared" si="63"/>
        <v>1219.4000803638678</v>
      </c>
      <c r="J172" s="796">
        <f t="shared" si="63"/>
        <v>2146.7400710966126</v>
      </c>
      <c r="K172" s="796">
        <f t="shared" si="63"/>
        <v>959.42316452516673</v>
      </c>
      <c r="L172" s="796">
        <f t="shared" si="63"/>
        <v>6524.4744699208441</v>
      </c>
      <c r="M172" s="796">
        <f t="shared" si="63"/>
        <v>1759.6245111555645</v>
      </c>
      <c r="N172" s="796">
        <f t="shared" si="63"/>
        <v>633.91983885205718</v>
      </c>
      <c r="O172" s="143"/>
    </row>
    <row r="173" spans="1:21">
      <c r="A173" s="409" t="b">
        <f>AND(IF(B173=SUMMARY!$B$11,TRUE,FALSE),IF(C173=SUMMARY!$B$12,TRUE,FALSE),IF(D173=SUMMARY!$B$28,TRUE,FALSE),IF(E173=SUMMARY!$B$10,TRUE,FALSE))</f>
        <v>0</v>
      </c>
      <c r="B173" s="149" t="s">
        <v>556</v>
      </c>
      <c r="C173" s="424" t="str">
        <f t="shared" si="61"/>
        <v>100% Oil Sands GREET</v>
      </c>
      <c r="D173" s="425" t="str">
        <f>Valuation!$B$5</f>
        <v>Low</v>
      </c>
      <c r="E173" s="426" t="s">
        <v>50</v>
      </c>
      <c r="F173" s="445"/>
      <c r="G173" s="138">
        <v>9.0718474076075672</v>
      </c>
      <c r="H173" s="796">
        <f t="shared" si="63"/>
        <v>434.9654970814824</v>
      </c>
      <c r="I173" s="796">
        <f t="shared" si="63"/>
        <v>31453.247086796204</v>
      </c>
      <c r="J173" s="796">
        <f t="shared" si="63"/>
        <v>1088.9468103162255</v>
      </c>
      <c r="K173" s="796">
        <f t="shared" si="63"/>
        <v>5703.1374698401132</v>
      </c>
      <c r="L173" s="796">
        <f t="shared" si="63"/>
        <v>33691.743578318179</v>
      </c>
      <c r="M173" s="796">
        <f t="shared" si="63"/>
        <v>28442.999464461634</v>
      </c>
      <c r="N173" s="796">
        <f t="shared" si="63"/>
        <v>3197.7117660164445</v>
      </c>
      <c r="O173" s="143"/>
    </row>
    <row r="174" spans="1:21">
      <c r="A174" s="409" t="b">
        <f>AND(IF(B174=SUMMARY!$B$11,TRUE,FALSE),IF(C174=SUMMARY!$B$12,TRUE,FALSE),IF(D174=SUMMARY!$B$28,TRUE,FALSE),IF(E174=SUMMARY!$B$10,TRUE,FALSE))</f>
        <v>0</v>
      </c>
      <c r="B174" s="149" t="s">
        <v>556</v>
      </c>
      <c r="C174" s="424" t="str">
        <f t="shared" si="61"/>
        <v>100% Oil Sands GREET</v>
      </c>
      <c r="D174" s="425" t="str">
        <f>Valuation!$B$5</f>
        <v>Low</v>
      </c>
      <c r="E174" s="439" t="s">
        <v>410</v>
      </c>
      <c r="F174" s="445"/>
      <c r="G174" s="138">
        <v>9.0718474076075672</v>
      </c>
      <c r="H174" s="796">
        <f t="shared" si="63"/>
        <v>190.97252351455793</v>
      </c>
      <c r="I174" s="796">
        <f t="shared" si="63"/>
        <v>16060.699854904535</v>
      </c>
      <c r="J174" s="796">
        <f t="shared" si="63"/>
        <v>2279.8656134269131</v>
      </c>
      <c r="K174" s="796">
        <f t="shared" si="63"/>
        <v>2503.9745953959377</v>
      </c>
      <c r="L174" s="796">
        <f t="shared" si="63"/>
        <v>17328.791864888779</v>
      </c>
      <c r="M174" s="796">
        <f t="shared" si="63"/>
        <v>5934.2528940232096</v>
      </c>
      <c r="N174" s="796">
        <f t="shared" si="63"/>
        <v>1657.7342798945515</v>
      </c>
      <c r="O174" s="143"/>
    </row>
    <row r="175" spans="1:21">
      <c r="A175" s="409" t="b">
        <f>AND(IF(B175=SUMMARY!$B$11,TRUE,FALSE),IF(C175=SUMMARY!$B$12,TRUE,FALSE),IF(D175=SUMMARY!$B$28,TRUE,FALSE),IF(E175=SUMMARY!$B$10,TRUE,FALSE))</f>
        <v>0</v>
      </c>
      <c r="B175" s="149" t="s">
        <v>556</v>
      </c>
      <c r="C175" s="424" t="str">
        <f t="shared" si="61"/>
        <v>100% Oil Sands GREET</v>
      </c>
      <c r="D175" s="425" t="str">
        <f>Valuation!$B$6</f>
        <v>Medium</v>
      </c>
      <c r="E175" s="426" t="s">
        <v>51</v>
      </c>
      <c r="F175" s="445"/>
      <c r="G175" s="138">
        <v>27.215542222822698</v>
      </c>
      <c r="H175" s="796">
        <f>H167</f>
        <v>25.512480129055938</v>
      </c>
      <c r="I175" s="796">
        <f t="shared" ref="I175:N175" si="64">I167</f>
        <v>539.89203830268252</v>
      </c>
      <c r="J175" s="796">
        <f t="shared" si="64"/>
        <v>575.58480099419467</v>
      </c>
      <c r="K175" s="796">
        <f t="shared" si="64"/>
        <v>334.51200692664003</v>
      </c>
      <c r="L175" s="796">
        <f t="shared" si="64"/>
        <v>1541.2143417089678</v>
      </c>
      <c r="M175" s="796">
        <f t="shared" si="64"/>
        <v>2821.2039301311352</v>
      </c>
      <c r="N175" s="796">
        <f t="shared" si="64"/>
        <v>153.0378446357409</v>
      </c>
      <c r="O175" s="143"/>
    </row>
    <row r="176" spans="1:21">
      <c r="A176" s="409" t="b">
        <f>AND(IF(B176=SUMMARY!$B$11,TRUE,FALSE),IF(C176=SUMMARY!$B$12,TRUE,FALSE),IF(D176=SUMMARY!$B$28,TRUE,FALSE),IF(E176=SUMMARY!$B$10,TRUE,FALSE))</f>
        <v>0</v>
      </c>
      <c r="B176" s="149" t="s">
        <v>556</v>
      </c>
      <c r="C176" s="424" t="str">
        <f t="shared" si="61"/>
        <v>100% Oil Sands GREET</v>
      </c>
      <c r="D176" s="425" t="str">
        <f>Valuation!$B$6</f>
        <v>Medium</v>
      </c>
      <c r="E176" s="426" t="s">
        <v>96</v>
      </c>
      <c r="F176" s="445"/>
      <c r="G176" s="138">
        <v>27.215542222822698</v>
      </c>
      <c r="H176" s="796">
        <f t="shared" ref="H176:N178" si="65">H168</f>
        <v>73.173051829114939</v>
      </c>
      <c r="I176" s="796">
        <f t="shared" si="65"/>
        <v>1219.4000803638678</v>
      </c>
      <c r="J176" s="796">
        <f t="shared" si="65"/>
        <v>2146.7400710966126</v>
      </c>
      <c r="K176" s="796">
        <f t="shared" si="65"/>
        <v>959.42316452516673</v>
      </c>
      <c r="L176" s="796">
        <f t="shared" si="65"/>
        <v>6524.4744699208441</v>
      </c>
      <c r="M176" s="796">
        <f t="shared" si="65"/>
        <v>1759.6245111555645</v>
      </c>
      <c r="N176" s="796">
        <f t="shared" si="65"/>
        <v>633.91983885205718</v>
      </c>
      <c r="O176" s="143"/>
    </row>
    <row r="177" spans="1:21">
      <c r="A177" s="409" t="b">
        <f>AND(IF(B177=SUMMARY!$B$11,TRUE,FALSE),IF(C177=SUMMARY!$B$12,TRUE,FALSE),IF(D177=SUMMARY!$B$28,TRUE,FALSE),IF(E177=SUMMARY!$B$10,TRUE,FALSE))</f>
        <v>0</v>
      </c>
      <c r="B177" s="149" t="s">
        <v>556</v>
      </c>
      <c r="C177" s="424" t="str">
        <f t="shared" si="61"/>
        <v>100% Oil Sands GREET</v>
      </c>
      <c r="D177" s="425" t="str">
        <f>Valuation!$B$6</f>
        <v>Medium</v>
      </c>
      <c r="E177" s="426" t="s">
        <v>50</v>
      </c>
      <c r="F177" s="445"/>
      <c r="G177" s="138">
        <v>27.215542222822698</v>
      </c>
      <c r="H177" s="796">
        <f t="shared" si="65"/>
        <v>434.9654970814824</v>
      </c>
      <c r="I177" s="796">
        <f t="shared" si="65"/>
        <v>31453.247086796204</v>
      </c>
      <c r="J177" s="796">
        <f t="shared" si="65"/>
        <v>1088.9468103162255</v>
      </c>
      <c r="K177" s="796">
        <f t="shared" si="65"/>
        <v>5703.1374698401132</v>
      </c>
      <c r="L177" s="796">
        <f t="shared" si="65"/>
        <v>33691.743578318179</v>
      </c>
      <c r="M177" s="796">
        <f t="shared" si="65"/>
        <v>28442.999464461634</v>
      </c>
      <c r="N177" s="796">
        <f t="shared" si="65"/>
        <v>3197.7117660164445</v>
      </c>
      <c r="O177" s="143"/>
    </row>
    <row r="178" spans="1:21">
      <c r="A178" s="409" t="b">
        <f>AND(IF(B178=SUMMARY!$B$11,TRUE,FALSE),IF(C178=SUMMARY!$B$12,TRUE,FALSE),IF(D178=SUMMARY!$B$28,TRUE,FALSE),IF(E178=SUMMARY!$B$10,TRUE,FALSE))</f>
        <v>0</v>
      </c>
      <c r="B178" s="149" t="s">
        <v>556</v>
      </c>
      <c r="C178" s="424" t="str">
        <f t="shared" si="61"/>
        <v>100% Oil Sands GREET</v>
      </c>
      <c r="D178" s="425" t="str">
        <f>Valuation!$B$6</f>
        <v>Medium</v>
      </c>
      <c r="E178" s="439" t="s">
        <v>410</v>
      </c>
      <c r="F178" s="445"/>
      <c r="G178" s="138">
        <v>27.215542222822695</v>
      </c>
      <c r="H178" s="796">
        <f t="shared" si="65"/>
        <v>190.97252351455793</v>
      </c>
      <c r="I178" s="796">
        <f t="shared" si="65"/>
        <v>16060.699854904535</v>
      </c>
      <c r="J178" s="796">
        <f t="shared" si="65"/>
        <v>2279.8656134269131</v>
      </c>
      <c r="K178" s="796">
        <f t="shared" si="65"/>
        <v>2503.9745953959377</v>
      </c>
      <c r="L178" s="796">
        <f t="shared" si="65"/>
        <v>17328.791864888779</v>
      </c>
      <c r="M178" s="796">
        <f t="shared" si="65"/>
        <v>5934.2528940232096</v>
      </c>
      <c r="N178" s="796">
        <f t="shared" si="65"/>
        <v>1657.7342798945515</v>
      </c>
      <c r="O178" s="143"/>
    </row>
    <row r="179" spans="1:21">
      <c r="A179" s="409" t="b">
        <f>AND(IF(B179=SUMMARY!$B$11,TRUE,FALSE),IF(C179=SUMMARY!$B$12,TRUE,FALSE),IF(D179=SUMMARY!$B$28,TRUE,FALSE),IF(E179=SUMMARY!$B$10,TRUE,FALSE))</f>
        <v>0</v>
      </c>
      <c r="B179" s="149" t="s">
        <v>556</v>
      </c>
      <c r="C179" s="424" t="str">
        <f t="shared" si="61"/>
        <v>100% Oil Sands GREET</v>
      </c>
      <c r="D179" s="425" t="str">
        <f>Valuation!$B$7</f>
        <v>High</v>
      </c>
      <c r="E179" s="426" t="s">
        <v>51</v>
      </c>
      <c r="F179" s="445"/>
      <c r="G179" s="138">
        <v>90.718474076075665</v>
      </c>
      <c r="H179" s="796">
        <f>H167</f>
        <v>25.512480129055938</v>
      </c>
      <c r="I179" s="796">
        <f t="shared" ref="I179:N179" si="66">I167</f>
        <v>539.89203830268252</v>
      </c>
      <c r="J179" s="796">
        <f t="shared" si="66"/>
        <v>575.58480099419467</v>
      </c>
      <c r="K179" s="796">
        <f t="shared" si="66"/>
        <v>334.51200692664003</v>
      </c>
      <c r="L179" s="796">
        <f t="shared" si="66"/>
        <v>1541.2143417089678</v>
      </c>
      <c r="M179" s="796">
        <f t="shared" si="66"/>
        <v>2821.2039301311352</v>
      </c>
      <c r="N179" s="796">
        <f t="shared" si="66"/>
        <v>153.0378446357409</v>
      </c>
      <c r="O179" s="143"/>
    </row>
    <row r="180" spans="1:21">
      <c r="A180" s="409" t="b">
        <f>AND(IF(B180=SUMMARY!$B$11,TRUE,FALSE),IF(C180=SUMMARY!$B$12,TRUE,FALSE),IF(D180=SUMMARY!$B$28,TRUE,FALSE),IF(E180=SUMMARY!$B$10,TRUE,FALSE))</f>
        <v>0</v>
      </c>
      <c r="B180" s="149" t="s">
        <v>556</v>
      </c>
      <c r="C180" s="424" t="str">
        <f t="shared" si="61"/>
        <v>100% Oil Sands GREET</v>
      </c>
      <c r="D180" s="425" t="str">
        <f>Valuation!$B$7</f>
        <v>High</v>
      </c>
      <c r="E180" s="426" t="s">
        <v>96</v>
      </c>
      <c r="F180" s="445"/>
      <c r="G180" s="138">
        <v>90.718474076075665</v>
      </c>
      <c r="H180" s="796">
        <f t="shared" ref="H180:N182" si="67">H168</f>
        <v>73.173051829114939</v>
      </c>
      <c r="I180" s="796">
        <f t="shared" si="67"/>
        <v>1219.4000803638678</v>
      </c>
      <c r="J180" s="796">
        <f t="shared" si="67"/>
        <v>2146.7400710966126</v>
      </c>
      <c r="K180" s="796">
        <f t="shared" si="67"/>
        <v>959.42316452516673</v>
      </c>
      <c r="L180" s="796">
        <f t="shared" si="67"/>
        <v>6524.4744699208441</v>
      </c>
      <c r="M180" s="796">
        <f t="shared" si="67"/>
        <v>1759.6245111555645</v>
      </c>
      <c r="N180" s="796">
        <f t="shared" si="67"/>
        <v>633.91983885205718</v>
      </c>
      <c r="O180" s="143"/>
    </row>
    <row r="181" spans="1:21">
      <c r="A181" s="409" t="b">
        <f>AND(IF(B181=SUMMARY!$B$11,TRUE,FALSE),IF(C181=SUMMARY!$B$12,TRUE,FALSE),IF(D181=SUMMARY!$B$28,TRUE,FALSE),IF(E181=SUMMARY!$B$10,TRUE,FALSE))</f>
        <v>0</v>
      </c>
      <c r="B181" s="149" t="s">
        <v>556</v>
      </c>
      <c r="C181" s="424" t="str">
        <f t="shared" si="61"/>
        <v>100% Oil Sands GREET</v>
      </c>
      <c r="D181" s="425" t="str">
        <f>Valuation!$B$7</f>
        <v>High</v>
      </c>
      <c r="E181" s="426" t="s">
        <v>50</v>
      </c>
      <c r="F181" s="445"/>
      <c r="G181" s="138">
        <v>90.718474076075665</v>
      </c>
      <c r="H181" s="796">
        <f t="shared" si="67"/>
        <v>434.9654970814824</v>
      </c>
      <c r="I181" s="796">
        <f t="shared" si="67"/>
        <v>31453.247086796204</v>
      </c>
      <c r="J181" s="796">
        <f t="shared" si="67"/>
        <v>1088.9468103162255</v>
      </c>
      <c r="K181" s="796">
        <f t="shared" si="67"/>
        <v>5703.1374698401132</v>
      </c>
      <c r="L181" s="796">
        <f t="shared" si="67"/>
        <v>33691.743578318179</v>
      </c>
      <c r="M181" s="796">
        <f t="shared" si="67"/>
        <v>28442.999464461634</v>
      </c>
      <c r="N181" s="796">
        <f t="shared" si="67"/>
        <v>3197.7117660164445</v>
      </c>
      <c r="O181" s="143"/>
    </row>
    <row r="182" spans="1:21">
      <c r="A182" s="442" t="b">
        <f>AND(IF(B182=SUMMARY!$B$11,TRUE,FALSE),IF(C182=SUMMARY!$B$12,TRUE,FALSE),IF(D182=SUMMARY!$B$28,TRUE,FALSE),IF(E182=SUMMARY!$B$10,TRUE,FALSE))</f>
        <v>0</v>
      </c>
      <c r="B182" s="430" t="s">
        <v>556</v>
      </c>
      <c r="C182" s="431" t="str">
        <f t="shared" si="61"/>
        <v>100% Oil Sands GREET</v>
      </c>
      <c r="D182" s="432" t="str">
        <f>Valuation!$B$7</f>
        <v>High</v>
      </c>
      <c r="E182" s="433" t="s">
        <v>410</v>
      </c>
      <c r="F182" s="446"/>
      <c r="G182" s="367">
        <v>90.718474076075651</v>
      </c>
      <c r="H182" s="797">
        <f t="shared" si="67"/>
        <v>190.97252351455793</v>
      </c>
      <c r="I182" s="797">
        <f t="shared" si="67"/>
        <v>16060.699854904535</v>
      </c>
      <c r="J182" s="797">
        <f t="shared" si="67"/>
        <v>2279.8656134269131</v>
      </c>
      <c r="K182" s="797">
        <f t="shared" si="67"/>
        <v>2503.9745953959377</v>
      </c>
      <c r="L182" s="797">
        <f t="shared" si="67"/>
        <v>17328.791864888779</v>
      </c>
      <c r="M182" s="797">
        <f t="shared" si="67"/>
        <v>5934.2528940232096</v>
      </c>
      <c r="N182" s="797">
        <f t="shared" si="67"/>
        <v>1657.7342798945515</v>
      </c>
      <c r="O182" s="143"/>
    </row>
    <row r="183" spans="1:21">
      <c r="A183" s="409" t="b">
        <f>AND(IF(B183=SUMMARY!$B$11,TRUE,FALSE),IF(C183=SUMMARY!$B$12,TRUE,FALSE),IF(D183=SUMMARY!$B$28,TRUE,FALSE),IF(E183=SUMMARY!$B$10,TRUE,FALSE))</f>
        <v>0</v>
      </c>
      <c r="B183" s="149" t="s">
        <v>416</v>
      </c>
      <c r="C183" s="424" t="str">
        <f t="shared" ref="C183:C198" si="68">$D$13</f>
        <v>0% Oil Sands GREET</v>
      </c>
      <c r="D183" s="425" t="str">
        <f>Valuation!$B$8</f>
        <v>Zero</v>
      </c>
      <c r="E183" s="426" t="s">
        <v>51</v>
      </c>
      <c r="F183" s="445"/>
      <c r="G183" s="138">
        <v>0</v>
      </c>
      <c r="H183" s="801">
        <v>34.420033488161629</v>
      </c>
      <c r="I183" s="801">
        <v>701.82415165458121</v>
      </c>
      <c r="J183" s="801">
        <v>889.46836443146003</v>
      </c>
      <c r="K183" s="801">
        <v>451.30518171355703</v>
      </c>
      <c r="L183" s="801">
        <v>2075.9643661825448</v>
      </c>
      <c r="M183" s="801">
        <v>1348.7351408922766</v>
      </c>
      <c r="N183" s="801">
        <v>208.68442599940306</v>
      </c>
      <c r="O183" s="143"/>
      <c r="P183" s="541"/>
      <c r="Q183" s="541"/>
      <c r="R183" s="541"/>
      <c r="S183" s="541"/>
      <c r="T183" s="541"/>
      <c r="U183" s="541"/>
    </row>
    <row r="184" spans="1:21">
      <c r="A184" s="409" t="b">
        <f>AND(IF(B184=SUMMARY!$B$11,TRUE,FALSE),IF(C184=SUMMARY!$B$12,TRUE,FALSE),IF(D184=SUMMARY!$B$28,TRUE,FALSE),IF(E184=SUMMARY!$B$10,TRUE,FALSE))</f>
        <v>0</v>
      </c>
      <c r="B184" s="149" t="s">
        <v>416</v>
      </c>
      <c r="C184" s="424" t="str">
        <f t="shared" si="68"/>
        <v>0% Oil Sands GREET</v>
      </c>
      <c r="D184" s="425" t="str">
        <f>Valuation!$B$8</f>
        <v>Zero</v>
      </c>
      <c r="E184" s="426" t="s">
        <v>96</v>
      </c>
      <c r="F184" s="445"/>
      <c r="G184" s="138">
        <v>0</v>
      </c>
      <c r="H184" s="801">
        <v>61.69366528075053</v>
      </c>
      <c r="I184" s="801">
        <v>2882.4134989597451</v>
      </c>
      <c r="J184" s="801">
        <v>1434.31788611513</v>
      </c>
      <c r="K184" s="801">
        <v>808.90888237167599</v>
      </c>
      <c r="L184" s="801">
        <v>5614.7350969301051</v>
      </c>
      <c r="M184" s="801">
        <v>4366.2157471649289</v>
      </c>
      <c r="N184" s="801">
        <v>573.61601234047021</v>
      </c>
      <c r="O184" s="143"/>
      <c r="P184" s="541"/>
      <c r="Q184" s="541"/>
      <c r="R184" s="541"/>
      <c r="S184" s="541"/>
      <c r="T184" s="541"/>
      <c r="U184" s="541"/>
    </row>
    <row r="185" spans="1:21">
      <c r="A185" s="409" t="b">
        <f>AND(IF(B185=SUMMARY!$B$11,TRUE,FALSE),IF(C185=SUMMARY!$B$12,TRUE,FALSE),IF(D185=SUMMARY!$B$28,TRUE,FALSE),IF(E185=SUMMARY!$B$10,TRUE,FALSE))</f>
        <v>0</v>
      </c>
      <c r="B185" s="149" t="s">
        <v>416</v>
      </c>
      <c r="C185" s="424" t="str">
        <f t="shared" si="68"/>
        <v>0% Oil Sands GREET</v>
      </c>
      <c r="D185" s="425" t="str">
        <f>Valuation!$B$8</f>
        <v>Zero</v>
      </c>
      <c r="E185" s="426" t="s">
        <v>50</v>
      </c>
      <c r="F185" s="445"/>
      <c r="G185" s="138">
        <v>0</v>
      </c>
      <c r="H185" s="801">
        <v>238.34713491847708</v>
      </c>
      <c r="I185" s="801">
        <v>3171.252955755303</v>
      </c>
      <c r="J185" s="801">
        <v>4575.4628336345395</v>
      </c>
      <c r="K185" s="801">
        <v>3125.1363271417363</v>
      </c>
      <c r="L185" s="801">
        <v>15195.217401878968</v>
      </c>
      <c r="M185" s="801">
        <v>8917.8219535822409</v>
      </c>
      <c r="N185" s="801">
        <v>1545.4077922869178</v>
      </c>
      <c r="O185" s="143"/>
      <c r="P185" s="541"/>
      <c r="Q185" s="541"/>
      <c r="R185" s="541"/>
      <c r="S185" s="541"/>
      <c r="T185" s="541"/>
      <c r="U185" s="541"/>
    </row>
    <row r="186" spans="1:21">
      <c r="A186" s="409" t="b">
        <f>AND(IF(B186=SUMMARY!$B$11,TRUE,FALSE),IF(C186=SUMMARY!$B$12,TRUE,FALSE),IF(D186=SUMMARY!$B$28,TRUE,FALSE),IF(E186=SUMMARY!$B$10,TRUE,FALSE))</f>
        <v>0</v>
      </c>
      <c r="B186" s="149" t="s">
        <v>416</v>
      </c>
      <c r="C186" s="424" t="str">
        <f t="shared" si="68"/>
        <v>0% Oil Sands GREET</v>
      </c>
      <c r="D186" s="425" t="str">
        <f>Valuation!$B$8</f>
        <v>Zero</v>
      </c>
      <c r="E186" s="439" t="s">
        <v>410</v>
      </c>
      <c r="F186" s="445"/>
      <c r="G186" s="138">
        <v>0</v>
      </c>
      <c r="H186" s="801">
        <v>115.75237136413593</v>
      </c>
      <c r="I186" s="801">
        <v>8776.1423532498811</v>
      </c>
      <c r="J186" s="801">
        <v>1296.7839308484397</v>
      </c>
      <c r="K186" s="801">
        <v>1517.7104638853341</v>
      </c>
      <c r="L186" s="801">
        <v>9990.3328702265153</v>
      </c>
      <c r="M186" s="801">
        <v>4545.351081863796</v>
      </c>
      <c r="N186" s="801">
        <v>964.51447348691818</v>
      </c>
      <c r="O186" s="143"/>
      <c r="P186" s="541"/>
      <c r="Q186" s="541"/>
      <c r="R186" s="541"/>
      <c r="S186" s="541"/>
      <c r="T186" s="541"/>
      <c r="U186" s="541"/>
    </row>
    <row r="187" spans="1:21">
      <c r="A187" s="409" t="b">
        <f>AND(IF(B187=SUMMARY!$B$11,TRUE,FALSE),IF(C187=SUMMARY!$B$12,TRUE,FALSE),IF(D187=SUMMARY!$B$28,TRUE,FALSE),IF(E187=SUMMARY!$B$10,TRUE,FALSE))</f>
        <v>0</v>
      </c>
      <c r="B187" s="149" t="s">
        <v>416</v>
      </c>
      <c r="C187" s="424" t="str">
        <f t="shared" si="68"/>
        <v>0% Oil Sands GREET</v>
      </c>
      <c r="D187" s="425" t="str">
        <f>Valuation!$B$5</f>
        <v>Low</v>
      </c>
      <c r="E187" s="426" t="s">
        <v>51</v>
      </c>
      <c r="F187" s="445"/>
      <c r="G187" s="138">
        <v>9.0718474076075672</v>
      </c>
      <c r="H187" s="796">
        <f>H183</f>
        <v>34.420033488161629</v>
      </c>
      <c r="I187" s="796">
        <f t="shared" ref="I187:N187" si="69">I183</f>
        <v>701.82415165458121</v>
      </c>
      <c r="J187" s="796">
        <f t="shared" si="69"/>
        <v>889.46836443146003</v>
      </c>
      <c r="K187" s="796">
        <f t="shared" si="69"/>
        <v>451.30518171355703</v>
      </c>
      <c r="L187" s="796">
        <f t="shared" si="69"/>
        <v>2075.9643661825448</v>
      </c>
      <c r="M187" s="796">
        <f t="shared" si="69"/>
        <v>1348.7351408922766</v>
      </c>
      <c r="N187" s="796">
        <f t="shared" si="69"/>
        <v>208.68442599940306</v>
      </c>
      <c r="O187" s="143"/>
    </row>
    <row r="188" spans="1:21">
      <c r="A188" s="409" t="b">
        <f>AND(IF(B188=SUMMARY!$B$11,TRUE,FALSE),IF(C188=SUMMARY!$B$12,TRUE,FALSE),IF(D188=SUMMARY!$B$28,TRUE,FALSE),IF(E188=SUMMARY!$B$10,TRUE,FALSE))</f>
        <v>0</v>
      </c>
      <c r="B188" s="149" t="s">
        <v>416</v>
      </c>
      <c r="C188" s="424" t="str">
        <f t="shared" si="68"/>
        <v>0% Oil Sands GREET</v>
      </c>
      <c r="D188" s="425" t="str">
        <f>Valuation!$B$5</f>
        <v>Low</v>
      </c>
      <c r="E188" s="426" t="s">
        <v>96</v>
      </c>
      <c r="F188" s="445"/>
      <c r="G188" s="138">
        <v>9.0718474076075672</v>
      </c>
      <c r="H188" s="796">
        <f t="shared" ref="H188:N190" si="70">H184</f>
        <v>61.69366528075053</v>
      </c>
      <c r="I188" s="796">
        <f t="shared" si="70"/>
        <v>2882.4134989597451</v>
      </c>
      <c r="J188" s="796">
        <f t="shared" si="70"/>
        <v>1434.31788611513</v>
      </c>
      <c r="K188" s="796">
        <f t="shared" si="70"/>
        <v>808.90888237167599</v>
      </c>
      <c r="L188" s="796">
        <f t="shared" si="70"/>
        <v>5614.7350969301051</v>
      </c>
      <c r="M188" s="796">
        <f t="shared" si="70"/>
        <v>4366.2157471649289</v>
      </c>
      <c r="N188" s="796">
        <f t="shared" si="70"/>
        <v>573.61601234047021</v>
      </c>
      <c r="O188" s="143"/>
    </row>
    <row r="189" spans="1:21">
      <c r="A189" s="409" t="b">
        <f>AND(IF(B189=SUMMARY!$B$11,TRUE,FALSE),IF(C189=SUMMARY!$B$12,TRUE,FALSE),IF(D189=SUMMARY!$B$28,TRUE,FALSE),IF(E189=SUMMARY!$B$10,TRUE,FALSE))</f>
        <v>0</v>
      </c>
      <c r="B189" s="149" t="s">
        <v>416</v>
      </c>
      <c r="C189" s="424" t="str">
        <f t="shared" si="68"/>
        <v>0% Oil Sands GREET</v>
      </c>
      <c r="D189" s="425" t="str">
        <f>Valuation!$B$5</f>
        <v>Low</v>
      </c>
      <c r="E189" s="426" t="s">
        <v>50</v>
      </c>
      <c r="F189" s="445"/>
      <c r="G189" s="138">
        <v>9.0718474076075672</v>
      </c>
      <c r="H189" s="796">
        <f t="shared" si="70"/>
        <v>238.34713491847708</v>
      </c>
      <c r="I189" s="796">
        <f t="shared" si="70"/>
        <v>3171.252955755303</v>
      </c>
      <c r="J189" s="796">
        <f t="shared" si="70"/>
        <v>4575.4628336345395</v>
      </c>
      <c r="K189" s="796">
        <f t="shared" si="70"/>
        <v>3125.1363271417363</v>
      </c>
      <c r="L189" s="796">
        <f t="shared" si="70"/>
        <v>15195.217401878968</v>
      </c>
      <c r="M189" s="796">
        <f t="shared" si="70"/>
        <v>8917.8219535822409</v>
      </c>
      <c r="N189" s="796">
        <f t="shared" si="70"/>
        <v>1545.4077922869178</v>
      </c>
      <c r="O189" s="143"/>
    </row>
    <row r="190" spans="1:21">
      <c r="A190" s="409" t="b">
        <f>AND(IF(B190=SUMMARY!$B$11,TRUE,FALSE),IF(C190=SUMMARY!$B$12,TRUE,FALSE),IF(D190=SUMMARY!$B$28,TRUE,FALSE),IF(E190=SUMMARY!$B$10,TRUE,FALSE))</f>
        <v>0</v>
      </c>
      <c r="B190" s="149" t="s">
        <v>416</v>
      </c>
      <c r="C190" s="424" t="str">
        <f t="shared" si="68"/>
        <v>0% Oil Sands GREET</v>
      </c>
      <c r="D190" s="425" t="str">
        <f>Valuation!$B$5</f>
        <v>Low</v>
      </c>
      <c r="E190" s="439" t="s">
        <v>410</v>
      </c>
      <c r="F190" s="445"/>
      <c r="G190" s="138">
        <v>9.0718474076078923</v>
      </c>
      <c r="H190" s="796">
        <f t="shared" si="70"/>
        <v>115.75237136413593</v>
      </c>
      <c r="I190" s="796">
        <f t="shared" si="70"/>
        <v>8776.1423532498811</v>
      </c>
      <c r="J190" s="796">
        <f t="shared" si="70"/>
        <v>1296.7839308484397</v>
      </c>
      <c r="K190" s="796">
        <f t="shared" si="70"/>
        <v>1517.7104638853341</v>
      </c>
      <c r="L190" s="796">
        <f t="shared" si="70"/>
        <v>9990.3328702265153</v>
      </c>
      <c r="M190" s="796">
        <f t="shared" si="70"/>
        <v>4545.351081863796</v>
      </c>
      <c r="N190" s="796">
        <f t="shared" si="70"/>
        <v>964.51447348691818</v>
      </c>
      <c r="O190" s="143"/>
    </row>
    <row r="191" spans="1:21">
      <c r="A191" s="409" t="b">
        <f>AND(IF(B191=SUMMARY!$B$11,TRUE,FALSE),IF(C191=SUMMARY!$B$12,TRUE,FALSE),IF(D191=SUMMARY!$B$28,TRUE,FALSE),IF(E191=SUMMARY!$B$10,TRUE,FALSE))</f>
        <v>0</v>
      </c>
      <c r="B191" s="149" t="s">
        <v>416</v>
      </c>
      <c r="C191" s="424" t="str">
        <f t="shared" si="68"/>
        <v>0% Oil Sands GREET</v>
      </c>
      <c r="D191" s="425" t="str">
        <f>Valuation!$B$6</f>
        <v>Medium</v>
      </c>
      <c r="E191" s="426" t="s">
        <v>51</v>
      </c>
      <c r="F191" s="445"/>
      <c r="G191" s="138">
        <v>27.215542222822698</v>
      </c>
      <c r="H191" s="796">
        <f>H183</f>
        <v>34.420033488161629</v>
      </c>
      <c r="I191" s="796">
        <f t="shared" ref="I191:N191" si="71">I183</f>
        <v>701.82415165458121</v>
      </c>
      <c r="J191" s="796">
        <f t="shared" si="71"/>
        <v>889.46836443146003</v>
      </c>
      <c r="K191" s="796">
        <f t="shared" si="71"/>
        <v>451.30518171355703</v>
      </c>
      <c r="L191" s="796">
        <f t="shared" si="71"/>
        <v>2075.9643661825448</v>
      </c>
      <c r="M191" s="796">
        <f t="shared" si="71"/>
        <v>1348.7351408922766</v>
      </c>
      <c r="N191" s="796">
        <f t="shared" si="71"/>
        <v>208.68442599940306</v>
      </c>
      <c r="O191" s="143"/>
    </row>
    <row r="192" spans="1:21">
      <c r="A192" s="409" t="b">
        <f>AND(IF(B192=SUMMARY!$B$11,TRUE,FALSE),IF(C192=SUMMARY!$B$12,TRUE,FALSE),IF(D192=SUMMARY!$B$28,TRUE,FALSE),IF(E192=SUMMARY!$B$10,TRUE,FALSE))</f>
        <v>0</v>
      </c>
      <c r="B192" s="149" t="s">
        <v>416</v>
      </c>
      <c r="C192" s="424" t="str">
        <f t="shared" si="68"/>
        <v>0% Oil Sands GREET</v>
      </c>
      <c r="D192" s="425" t="str">
        <f>Valuation!$B$6</f>
        <v>Medium</v>
      </c>
      <c r="E192" s="426" t="s">
        <v>96</v>
      </c>
      <c r="F192" s="445"/>
      <c r="G192" s="138">
        <v>27.215542222822698</v>
      </c>
      <c r="H192" s="796">
        <f t="shared" ref="H192:N194" si="72">H184</f>
        <v>61.69366528075053</v>
      </c>
      <c r="I192" s="796">
        <f t="shared" si="72"/>
        <v>2882.4134989597451</v>
      </c>
      <c r="J192" s="796">
        <f t="shared" si="72"/>
        <v>1434.31788611513</v>
      </c>
      <c r="K192" s="796">
        <f t="shared" si="72"/>
        <v>808.90888237167599</v>
      </c>
      <c r="L192" s="796">
        <f t="shared" si="72"/>
        <v>5614.7350969301051</v>
      </c>
      <c r="M192" s="796">
        <f t="shared" si="72"/>
        <v>4366.2157471649289</v>
      </c>
      <c r="N192" s="796">
        <f t="shared" si="72"/>
        <v>573.61601234047021</v>
      </c>
      <c r="O192" s="143"/>
    </row>
    <row r="193" spans="1:21">
      <c r="A193" s="409" t="b">
        <f>AND(IF(B193=SUMMARY!$B$11,TRUE,FALSE),IF(C193=SUMMARY!$B$12,TRUE,FALSE),IF(D193=SUMMARY!$B$28,TRUE,FALSE),IF(E193=SUMMARY!$B$10,TRUE,FALSE))</f>
        <v>0</v>
      </c>
      <c r="B193" s="149" t="s">
        <v>416</v>
      </c>
      <c r="C193" s="424" t="str">
        <f t="shared" si="68"/>
        <v>0% Oil Sands GREET</v>
      </c>
      <c r="D193" s="425" t="str">
        <f>Valuation!$B$6</f>
        <v>Medium</v>
      </c>
      <c r="E193" s="426" t="s">
        <v>50</v>
      </c>
      <c r="F193" s="445"/>
      <c r="G193" s="138">
        <v>27.215542222822698</v>
      </c>
      <c r="H193" s="796">
        <f t="shared" si="72"/>
        <v>238.34713491847708</v>
      </c>
      <c r="I193" s="796">
        <f t="shared" si="72"/>
        <v>3171.252955755303</v>
      </c>
      <c r="J193" s="796">
        <f t="shared" si="72"/>
        <v>4575.4628336345395</v>
      </c>
      <c r="K193" s="796">
        <f t="shared" si="72"/>
        <v>3125.1363271417363</v>
      </c>
      <c r="L193" s="796">
        <f t="shared" si="72"/>
        <v>15195.217401878968</v>
      </c>
      <c r="M193" s="796">
        <f t="shared" si="72"/>
        <v>8917.8219535822409</v>
      </c>
      <c r="N193" s="796">
        <f t="shared" si="72"/>
        <v>1545.4077922869178</v>
      </c>
      <c r="O193" s="143"/>
    </row>
    <row r="194" spans="1:21">
      <c r="A194" s="409" t="b">
        <f>AND(IF(B194=SUMMARY!$B$11,TRUE,FALSE),IF(C194=SUMMARY!$B$12,TRUE,FALSE),IF(D194=SUMMARY!$B$28,TRUE,FALSE),IF(E194=SUMMARY!$B$10,TRUE,FALSE))</f>
        <v>0</v>
      </c>
      <c r="B194" s="149" t="s">
        <v>416</v>
      </c>
      <c r="C194" s="424" t="str">
        <f t="shared" si="68"/>
        <v>0% Oil Sands GREET</v>
      </c>
      <c r="D194" s="425" t="str">
        <f>Valuation!$B$6</f>
        <v>Medium</v>
      </c>
      <c r="E194" s="439" t="s">
        <v>410</v>
      </c>
      <c r="F194" s="445"/>
      <c r="G194" s="138">
        <v>27.215542222821874</v>
      </c>
      <c r="H194" s="796">
        <f t="shared" si="72"/>
        <v>115.75237136413593</v>
      </c>
      <c r="I194" s="796">
        <f t="shared" si="72"/>
        <v>8776.1423532498811</v>
      </c>
      <c r="J194" s="796">
        <f t="shared" si="72"/>
        <v>1296.7839308484397</v>
      </c>
      <c r="K194" s="796">
        <f t="shared" si="72"/>
        <v>1517.7104638853341</v>
      </c>
      <c r="L194" s="796">
        <f t="shared" si="72"/>
        <v>9990.3328702265153</v>
      </c>
      <c r="M194" s="796">
        <f t="shared" si="72"/>
        <v>4545.351081863796</v>
      </c>
      <c r="N194" s="796">
        <f t="shared" si="72"/>
        <v>964.51447348691818</v>
      </c>
      <c r="O194" s="143"/>
    </row>
    <row r="195" spans="1:21">
      <c r="A195" s="409" t="b">
        <f>AND(IF(B195=SUMMARY!$B$11,TRUE,FALSE),IF(C195=SUMMARY!$B$12,TRUE,FALSE),IF(D195=SUMMARY!$B$28,TRUE,FALSE),IF(E195=SUMMARY!$B$10,TRUE,FALSE))</f>
        <v>0</v>
      </c>
      <c r="B195" s="149" t="s">
        <v>416</v>
      </c>
      <c r="C195" s="424" t="str">
        <f t="shared" si="68"/>
        <v>0% Oil Sands GREET</v>
      </c>
      <c r="D195" s="425" t="str">
        <f>Valuation!$B$7</f>
        <v>High</v>
      </c>
      <c r="E195" s="426" t="s">
        <v>51</v>
      </c>
      <c r="F195" s="445"/>
      <c r="G195" s="138">
        <v>90.718474076075665</v>
      </c>
      <c r="H195" s="796">
        <f>H183</f>
        <v>34.420033488161629</v>
      </c>
      <c r="I195" s="796">
        <f t="shared" ref="I195:N195" si="73">I183</f>
        <v>701.82415165458121</v>
      </c>
      <c r="J195" s="796">
        <f t="shared" si="73"/>
        <v>889.46836443146003</v>
      </c>
      <c r="K195" s="796">
        <f t="shared" si="73"/>
        <v>451.30518171355703</v>
      </c>
      <c r="L195" s="796">
        <f t="shared" si="73"/>
        <v>2075.9643661825448</v>
      </c>
      <c r="M195" s="796">
        <f t="shared" si="73"/>
        <v>1348.7351408922766</v>
      </c>
      <c r="N195" s="796">
        <f t="shared" si="73"/>
        <v>208.68442599940306</v>
      </c>
      <c r="O195" s="143"/>
    </row>
    <row r="196" spans="1:21">
      <c r="A196" s="409" t="b">
        <f>AND(IF(B196=SUMMARY!$B$11,TRUE,FALSE),IF(C196=SUMMARY!$B$12,TRUE,FALSE),IF(D196=SUMMARY!$B$28,TRUE,FALSE),IF(E196=SUMMARY!$B$10,TRUE,FALSE))</f>
        <v>0</v>
      </c>
      <c r="B196" s="149" t="s">
        <v>416</v>
      </c>
      <c r="C196" s="424" t="str">
        <f t="shared" si="68"/>
        <v>0% Oil Sands GREET</v>
      </c>
      <c r="D196" s="425" t="str">
        <f>Valuation!$B$7</f>
        <v>High</v>
      </c>
      <c r="E196" s="426" t="s">
        <v>96</v>
      </c>
      <c r="F196" s="445"/>
      <c r="G196" s="138">
        <v>90.718474076075665</v>
      </c>
      <c r="H196" s="796">
        <f t="shared" ref="H196:N198" si="74">H184</f>
        <v>61.69366528075053</v>
      </c>
      <c r="I196" s="796">
        <f t="shared" si="74"/>
        <v>2882.4134989597451</v>
      </c>
      <c r="J196" s="796">
        <f t="shared" si="74"/>
        <v>1434.31788611513</v>
      </c>
      <c r="K196" s="796">
        <f t="shared" si="74"/>
        <v>808.90888237167599</v>
      </c>
      <c r="L196" s="796">
        <f t="shared" si="74"/>
        <v>5614.7350969301051</v>
      </c>
      <c r="M196" s="796">
        <f t="shared" si="74"/>
        <v>4366.2157471649289</v>
      </c>
      <c r="N196" s="796">
        <f t="shared" si="74"/>
        <v>573.61601234047021</v>
      </c>
      <c r="O196" s="143"/>
    </row>
    <row r="197" spans="1:21">
      <c r="A197" s="409" t="b">
        <f>AND(IF(B197=SUMMARY!$B$11,TRUE,FALSE),IF(C197=SUMMARY!$B$12,TRUE,FALSE),IF(D197=SUMMARY!$B$28,TRUE,FALSE),IF(E197=SUMMARY!$B$10,TRUE,FALSE))</f>
        <v>0</v>
      </c>
      <c r="B197" s="149" t="s">
        <v>416</v>
      </c>
      <c r="C197" s="424" t="str">
        <f t="shared" si="68"/>
        <v>0% Oil Sands GREET</v>
      </c>
      <c r="D197" s="425" t="str">
        <f>Valuation!$B$7</f>
        <v>High</v>
      </c>
      <c r="E197" s="426" t="s">
        <v>50</v>
      </c>
      <c r="F197" s="445"/>
      <c r="G197" s="138">
        <v>90.718474076075665</v>
      </c>
      <c r="H197" s="796">
        <f t="shared" si="74"/>
        <v>238.34713491847708</v>
      </c>
      <c r="I197" s="796">
        <f t="shared" si="74"/>
        <v>3171.252955755303</v>
      </c>
      <c r="J197" s="796">
        <f t="shared" si="74"/>
        <v>4575.4628336345395</v>
      </c>
      <c r="K197" s="796">
        <f t="shared" si="74"/>
        <v>3125.1363271417363</v>
      </c>
      <c r="L197" s="796">
        <f t="shared" si="74"/>
        <v>15195.217401878968</v>
      </c>
      <c r="M197" s="796">
        <f t="shared" si="74"/>
        <v>8917.8219535822409</v>
      </c>
      <c r="N197" s="796">
        <f t="shared" si="74"/>
        <v>1545.4077922869178</v>
      </c>
      <c r="O197" s="143"/>
    </row>
    <row r="198" spans="1:21">
      <c r="A198" s="411" t="b">
        <f>AND(IF(B198=SUMMARY!$B$11,TRUE,FALSE),IF(C198=SUMMARY!$B$12,TRUE,FALSE),IF(D198=SUMMARY!$B$28,TRUE,FALSE),IF(E198=SUMMARY!$B$10,TRUE,FALSE))</f>
        <v>0</v>
      </c>
      <c r="B198" s="430" t="s">
        <v>416</v>
      </c>
      <c r="C198" s="431" t="str">
        <f t="shared" si="68"/>
        <v>0% Oil Sands GREET</v>
      </c>
      <c r="D198" s="432" t="str">
        <f>Valuation!$B$7</f>
        <v>High</v>
      </c>
      <c r="E198" s="433" t="s">
        <v>410</v>
      </c>
      <c r="F198" s="446"/>
      <c r="G198" s="367">
        <v>90.718474076072383</v>
      </c>
      <c r="H198" s="797">
        <f t="shared" si="74"/>
        <v>115.75237136413593</v>
      </c>
      <c r="I198" s="797">
        <f t="shared" si="74"/>
        <v>8776.1423532498811</v>
      </c>
      <c r="J198" s="797">
        <f t="shared" si="74"/>
        <v>1296.7839308484397</v>
      </c>
      <c r="K198" s="797">
        <f t="shared" si="74"/>
        <v>1517.7104638853341</v>
      </c>
      <c r="L198" s="797">
        <f t="shared" si="74"/>
        <v>9990.3328702265153</v>
      </c>
      <c r="M198" s="797">
        <f t="shared" si="74"/>
        <v>4545.351081863796</v>
      </c>
      <c r="N198" s="797">
        <f t="shared" si="74"/>
        <v>964.51447348691818</v>
      </c>
      <c r="O198" s="143"/>
    </row>
    <row r="199" spans="1:21">
      <c r="A199" s="409" t="b">
        <f>AND(IF(B199=SUMMARY!$B$11,TRUE,FALSE),IF(C199=SUMMARY!$B$12,TRUE,FALSE),IF(D199=SUMMARY!$B$28,TRUE,FALSE),IF(E199=SUMMARY!$B$10,TRUE,FALSE))</f>
        <v>0</v>
      </c>
      <c r="B199" s="149" t="s">
        <v>416</v>
      </c>
      <c r="C199" s="424" t="str">
        <f t="shared" ref="C199:C214" si="75">$D$14</f>
        <v>9.4% Oil Sands GREET</v>
      </c>
      <c r="D199" s="425" t="str">
        <f>Valuation!$B$8</f>
        <v>Zero</v>
      </c>
      <c r="E199" s="426" t="s">
        <v>51</v>
      </c>
      <c r="F199" s="445"/>
      <c r="G199" s="138">
        <v>0</v>
      </c>
      <c r="H199" s="801">
        <v>45.287617591597659</v>
      </c>
      <c r="I199" s="801">
        <v>1450.6192447576359</v>
      </c>
      <c r="J199" s="801">
        <v>804.9408038823442</v>
      </c>
      <c r="K199" s="801">
        <v>593.79769324104996</v>
      </c>
      <c r="L199" s="801">
        <v>2430.5774382374793</v>
      </c>
      <c r="M199" s="801">
        <v>1451.930126708035</v>
      </c>
      <c r="N199" s="801">
        <v>236.91988971790562</v>
      </c>
      <c r="O199" s="143"/>
      <c r="P199" s="541"/>
      <c r="Q199" s="541"/>
      <c r="R199" s="541"/>
      <c r="S199" s="541"/>
      <c r="T199" s="541"/>
      <c r="U199" s="541"/>
    </row>
    <row r="200" spans="1:21">
      <c r="A200" s="409" t="b">
        <f>AND(IF(B200=SUMMARY!$B$11,TRUE,FALSE),IF(C200=SUMMARY!$B$12,TRUE,FALSE),IF(D200=SUMMARY!$B$28,TRUE,FALSE),IF(E200=SUMMARY!$B$10,TRUE,FALSE))</f>
        <v>0</v>
      </c>
      <c r="B200" s="149" t="s">
        <v>416</v>
      </c>
      <c r="C200" s="424" t="str">
        <f t="shared" si="75"/>
        <v>9.4% Oil Sands GREET</v>
      </c>
      <c r="D200" s="425" t="str">
        <f>Valuation!$B$8</f>
        <v>Zero</v>
      </c>
      <c r="E200" s="426" t="s">
        <v>96</v>
      </c>
      <c r="F200" s="445"/>
      <c r="G200" s="138">
        <v>0</v>
      </c>
      <c r="H200" s="801">
        <v>82.046827912289672</v>
      </c>
      <c r="I200" s="801">
        <v>1807.4947448375542</v>
      </c>
      <c r="J200" s="801">
        <v>1921.5845839411738</v>
      </c>
      <c r="K200" s="801">
        <v>1075.7734617751676</v>
      </c>
      <c r="L200" s="801">
        <v>8458.3238105395121</v>
      </c>
      <c r="M200" s="801">
        <v>2619.6764687100963</v>
      </c>
      <c r="N200" s="801">
        <v>813.0558081636666</v>
      </c>
      <c r="O200" s="143"/>
      <c r="P200" s="541"/>
      <c r="Q200" s="541"/>
      <c r="R200" s="541"/>
      <c r="S200" s="541"/>
      <c r="T200" s="541"/>
      <c r="U200" s="541"/>
    </row>
    <row r="201" spans="1:21">
      <c r="A201" s="409" t="b">
        <f>AND(IF(B201=SUMMARY!$B$11,TRUE,FALSE),IF(C201=SUMMARY!$B$12,TRUE,FALSE),IF(D201=SUMMARY!$B$28,TRUE,FALSE),IF(E201=SUMMARY!$B$10,TRUE,FALSE))</f>
        <v>0</v>
      </c>
      <c r="B201" s="149" t="s">
        <v>416</v>
      </c>
      <c r="C201" s="424" t="str">
        <f t="shared" si="75"/>
        <v>9.4% Oil Sands GREET</v>
      </c>
      <c r="D201" s="425" t="str">
        <f>Valuation!$B$8</f>
        <v>Zero</v>
      </c>
      <c r="E201" s="426" t="s">
        <v>50</v>
      </c>
      <c r="F201" s="445"/>
      <c r="G201" s="138">
        <v>0</v>
      </c>
      <c r="H201" s="801">
        <v>301.33203617971293</v>
      </c>
      <c r="I201" s="801">
        <v>33125.950599200514</v>
      </c>
      <c r="J201" s="801">
        <v>2661.6535940287145</v>
      </c>
      <c r="K201" s="801">
        <v>3950.9755093926506</v>
      </c>
      <c r="L201" s="801">
        <v>29034.43855620061</v>
      </c>
      <c r="M201" s="801">
        <v>11030.500993408115</v>
      </c>
      <c r="N201" s="801">
        <v>2862.4111749338767</v>
      </c>
      <c r="O201" s="143"/>
      <c r="P201" s="541"/>
      <c r="Q201" s="541"/>
      <c r="R201" s="541"/>
      <c r="S201" s="541"/>
      <c r="T201" s="541"/>
      <c r="U201" s="541"/>
    </row>
    <row r="202" spans="1:21">
      <c r="A202" s="409" t="b">
        <f>AND(IF(B202=SUMMARY!$B$11,TRUE,FALSE),IF(C202=SUMMARY!$B$12,TRUE,FALSE),IF(D202=SUMMARY!$B$28,TRUE,FALSE),IF(E202=SUMMARY!$B$10,TRUE,FALSE))</f>
        <v>0</v>
      </c>
      <c r="B202" s="149" t="s">
        <v>416</v>
      </c>
      <c r="C202" s="424" t="str">
        <f t="shared" si="75"/>
        <v>9.4% Oil Sands GREET</v>
      </c>
      <c r="D202" s="425" t="str">
        <f>Valuation!$B$8</f>
        <v>Zero</v>
      </c>
      <c r="E202" s="439" t="s">
        <v>410</v>
      </c>
      <c r="F202" s="445"/>
      <c r="G202" s="138">
        <v>0</v>
      </c>
      <c r="H202" s="801">
        <v>115.75237136413593</v>
      </c>
      <c r="I202" s="801">
        <v>8776.1423532498811</v>
      </c>
      <c r="J202" s="801">
        <v>1296.7839308484397</v>
      </c>
      <c r="K202" s="801">
        <v>1517.7104638853341</v>
      </c>
      <c r="L202" s="801">
        <v>9990.3328702265153</v>
      </c>
      <c r="M202" s="801">
        <v>4545.351081863796</v>
      </c>
      <c r="N202" s="801">
        <v>964.51447348691818</v>
      </c>
      <c r="O202" s="143"/>
      <c r="P202" s="541"/>
      <c r="Q202" s="541"/>
      <c r="R202" s="541"/>
      <c r="S202" s="541"/>
      <c r="T202" s="541"/>
      <c r="U202" s="541"/>
    </row>
    <row r="203" spans="1:21">
      <c r="A203" s="409" t="b">
        <f>AND(IF(B203=SUMMARY!$B$11,TRUE,FALSE),IF(C203=SUMMARY!$B$12,TRUE,FALSE),IF(D203=SUMMARY!$B$28,TRUE,FALSE),IF(E203=SUMMARY!$B$10,TRUE,FALSE))</f>
        <v>0</v>
      </c>
      <c r="B203" s="149" t="s">
        <v>416</v>
      </c>
      <c r="C203" s="424" t="str">
        <f t="shared" si="75"/>
        <v>9.4% Oil Sands GREET</v>
      </c>
      <c r="D203" s="425" t="str">
        <f>Valuation!$B$5</f>
        <v>Low</v>
      </c>
      <c r="E203" s="426" t="s">
        <v>51</v>
      </c>
      <c r="F203" s="445"/>
      <c r="G203" s="138">
        <v>9.0718474076075672</v>
      </c>
      <c r="H203" s="796">
        <f>H199</f>
        <v>45.287617591597659</v>
      </c>
      <c r="I203" s="796">
        <f t="shared" ref="I203:N203" si="76">I199</f>
        <v>1450.6192447576359</v>
      </c>
      <c r="J203" s="796">
        <f t="shared" si="76"/>
        <v>804.9408038823442</v>
      </c>
      <c r="K203" s="796">
        <f t="shared" si="76"/>
        <v>593.79769324104996</v>
      </c>
      <c r="L203" s="796">
        <f t="shared" si="76"/>
        <v>2430.5774382374793</v>
      </c>
      <c r="M203" s="796">
        <f t="shared" si="76"/>
        <v>1451.930126708035</v>
      </c>
      <c r="N203" s="796">
        <f t="shared" si="76"/>
        <v>236.91988971790562</v>
      </c>
      <c r="O203" s="143"/>
    </row>
    <row r="204" spans="1:21">
      <c r="A204" s="409" t="b">
        <f>AND(IF(B204=SUMMARY!$B$11,TRUE,FALSE),IF(C204=SUMMARY!$B$12,TRUE,FALSE),IF(D204=SUMMARY!$B$28,TRUE,FALSE),IF(E204=SUMMARY!$B$10,TRUE,FALSE))</f>
        <v>0</v>
      </c>
      <c r="B204" s="149" t="s">
        <v>416</v>
      </c>
      <c r="C204" s="424" t="str">
        <f t="shared" si="75"/>
        <v>9.4% Oil Sands GREET</v>
      </c>
      <c r="D204" s="425" t="str">
        <f>Valuation!$B$5</f>
        <v>Low</v>
      </c>
      <c r="E204" s="426" t="s">
        <v>96</v>
      </c>
      <c r="F204" s="445"/>
      <c r="G204" s="138">
        <v>9.0718474076075672</v>
      </c>
      <c r="H204" s="796">
        <f t="shared" ref="H204:N206" si="77">H200</f>
        <v>82.046827912289672</v>
      </c>
      <c r="I204" s="796">
        <f t="shared" si="77"/>
        <v>1807.4947448375542</v>
      </c>
      <c r="J204" s="796">
        <f t="shared" si="77"/>
        <v>1921.5845839411738</v>
      </c>
      <c r="K204" s="796">
        <f t="shared" si="77"/>
        <v>1075.7734617751676</v>
      </c>
      <c r="L204" s="796">
        <f t="shared" si="77"/>
        <v>8458.3238105395121</v>
      </c>
      <c r="M204" s="796">
        <f t="shared" si="77"/>
        <v>2619.6764687100963</v>
      </c>
      <c r="N204" s="796">
        <f t="shared" si="77"/>
        <v>813.0558081636666</v>
      </c>
      <c r="O204" s="143"/>
    </row>
    <row r="205" spans="1:21">
      <c r="A205" s="409" t="b">
        <f>AND(IF(B205=SUMMARY!$B$11,TRUE,FALSE),IF(C205=SUMMARY!$B$12,TRUE,FALSE),IF(D205=SUMMARY!$B$28,TRUE,FALSE),IF(E205=SUMMARY!$B$10,TRUE,FALSE))</f>
        <v>0</v>
      </c>
      <c r="B205" s="149" t="s">
        <v>416</v>
      </c>
      <c r="C205" s="424" t="str">
        <f t="shared" si="75"/>
        <v>9.4% Oil Sands GREET</v>
      </c>
      <c r="D205" s="425" t="str">
        <f>Valuation!$B$5</f>
        <v>Low</v>
      </c>
      <c r="E205" s="426" t="s">
        <v>50</v>
      </c>
      <c r="F205" s="445"/>
      <c r="G205" s="138">
        <v>9.0718474076075672</v>
      </c>
      <c r="H205" s="796">
        <f t="shared" si="77"/>
        <v>301.33203617971293</v>
      </c>
      <c r="I205" s="796">
        <f t="shared" si="77"/>
        <v>33125.950599200514</v>
      </c>
      <c r="J205" s="796">
        <f t="shared" si="77"/>
        <v>2661.6535940287145</v>
      </c>
      <c r="K205" s="796">
        <f t="shared" si="77"/>
        <v>3950.9755093926506</v>
      </c>
      <c r="L205" s="796">
        <f t="shared" si="77"/>
        <v>29034.43855620061</v>
      </c>
      <c r="M205" s="796">
        <f t="shared" si="77"/>
        <v>11030.500993408115</v>
      </c>
      <c r="N205" s="796">
        <f t="shared" si="77"/>
        <v>2862.4111749338767</v>
      </c>
      <c r="O205" s="143"/>
    </row>
    <row r="206" spans="1:21">
      <c r="A206" s="409" t="b">
        <f>AND(IF(B206=SUMMARY!$B$11,TRUE,FALSE),IF(C206=SUMMARY!$B$12,TRUE,FALSE),IF(D206=SUMMARY!$B$28,TRUE,FALSE),IF(E206=SUMMARY!$B$10,TRUE,FALSE))</f>
        <v>0</v>
      </c>
      <c r="B206" s="149" t="s">
        <v>416</v>
      </c>
      <c r="C206" s="424" t="str">
        <f t="shared" si="75"/>
        <v>9.4% Oil Sands GREET</v>
      </c>
      <c r="D206" s="425" t="str">
        <f>Valuation!$B$5</f>
        <v>Low</v>
      </c>
      <c r="E206" s="439" t="s">
        <v>410</v>
      </c>
      <c r="F206" s="445"/>
      <c r="G206" s="138">
        <v>9.0718474076078923</v>
      </c>
      <c r="H206" s="796">
        <f t="shared" si="77"/>
        <v>115.75237136413593</v>
      </c>
      <c r="I206" s="796">
        <f t="shared" si="77"/>
        <v>8776.1423532498811</v>
      </c>
      <c r="J206" s="796">
        <f t="shared" si="77"/>
        <v>1296.7839308484397</v>
      </c>
      <c r="K206" s="796">
        <f t="shared" si="77"/>
        <v>1517.7104638853341</v>
      </c>
      <c r="L206" s="796">
        <f t="shared" si="77"/>
        <v>9990.3328702265153</v>
      </c>
      <c r="M206" s="796">
        <f t="shared" si="77"/>
        <v>4545.351081863796</v>
      </c>
      <c r="N206" s="796">
        <f t="shared" si="77"/>
        <v>964.51447348691818</v>
      </c>
      <c r="O206" s="143"/>
    </row>
    <row r="207" spans="1:21">
      <c r="A207" s="409" t="b">
        <f>AND(IF(B207=SUMMARY!$B$11,TRUE,FALSE),IF(C207=SUMMARY!$B$12,TRUE,FALSE),IF(D207=SUMMARY!$B$28,TRUE,FALSE),IF(E207=SUMMARY!$B$10,TRUE,FALSE))</f>
        <v>0</v>
      </c>
      <c r="B207" s="149" t="s">
        <v>416</v>
      </c>
      <c r="C207" s="424" t="str">
        <f t="shared" si="75"/>
        <v>9.4% Oil Sands GREET</v>
      </c>
      <c r="D207" s="425" t="str">
        <f>Valuation!$B$6</f>
        <v>Medium</v>
      </c>
      <c r="E207" s="426" t="s">
        <v>51</v>
      </c>
      <c r="F207" s="445"/>
      <c r="G207" s="138">
        <v>27.215542222822698</v>
      </c>
      <c r="H207" s="796">
        <f>H199</f>
        <v>45.287617591597659</v>
      </c>
      <c r="I207" s="796">
        <f t="shared" ref="I207:N207" si="78">I199</f>
        <v>1450.6192447576359</v>
      </c>
      <c r="J207" s="796">
        <f t="shared" si="78"/>
        <v>804.9408038823442</v>
      </c>
      <c r="K207" s="796">
        <f t="shared" si="78"/>
        <v>593.79769324104996</v>
      </c>
      <c r="L207" s="796">
        <f t="shared" si="78"/>
        <v>2430.5774382374793</v>
      </c>
      <c r="M207" s="796">
        <f t="shared" si="78"/>
        <v>1451.930126708035</v>
      </c>
      <c r="N207" s="796">
        <f t="shared" si="78"/>
        <v>236.91988971790562</v>
      </c>
      <c r="O207" s="143"/>
    </row>
    <row r="208" spans="1:21">
      <c r="A208" s="409" t="b">
        <f>AND(IF(B208=SUMMARY!$B$11,TRUE,FALSE),IF(C208=SUMMARY!$B$12,TRUE,FALSE),IF(D208=SUMMARY!$B$28,TRUE,FALSE),IF(E208=SUMMARY!$B$10,TRUE,FALSE))</f>
        <v>0</v>
      </c>
      <c r="B208" s="149" t="s">
        <v>416</v>
      </c>
      <c r="C208" s="424" t="str">
        <f t="shared" si="75"/>
        <v>9.4% Oil Sands GREET</v>
      </c>
      <c r="D208" s="425" t="str">
        <f>Valuation!$B$6</f>
        <v>Medium</v>
      </c>
      <c r="E208" s="426" t="s">
        <v>96</v>
      </c>
      <c r="F208" s="445"/>
      <c r="G208" s="138">
        <v>27.215542222822698</v>
      </c>
      <c r="H208" s="796">
        <f t="shared" ref="H208:N210" si="79">H200</f>
        <v>82.046827912289672</v>
      </c>
      <c r="I208" s="796">
        <f t="shared" si="79"/>
        <v>1807.4947448375542</v>
      </c>
      <c r="J208" s="796">
        <f t="shared" si="79"/>
        <v>1921.5845839411738</v>
      </c>
      <c r="K208" s="796">
        <f t="shared" si="79"/>
        <v>1075.7734617751676</v>
      </c>
      <c r="L208" s="796">
        <f t="shared" si="79"/>
        <v>8458.3238105395121</v>
      </c>
      <c r="M208" s="796">
        <f t="shared" si="79"/>
        <v>2619.6764687100963</v>
      </c>
      <c r="N208" s="796">
        <f t="shared" si="79"/>
        <v>813.0558081636666</v>
      </c>
      <c r="O208" s="143"/>
    </row>
    <row r="209" spans="1:21">
      <c r="A209" s="409" t="b">
        <f>AND(IF(B209=SUMMARY!$B$11,TRUE,FALSE),IF(C209=SUMMARY!$B$12,TRUE,FALSE),IF(D209=SUMMARY!$B$28,TRUE,FALSE),IF(E209=SUMMARY!$B$10,TRUE,FALSE))</f>
        <v>0</v>
      </c>
      <c r="B209" s="149" t="s">
        <v>416</v>
      </c>
      <c r="C209" s="424" t="str">
        <f t="shared" si="75"/>
        <v>9.4% Oil Sands GREET</v>
      </c>
      <c r="D209" s="425" t="str">
        <f>Valuation!$B$6</f>
        <v>Medium</v>
      </c>
      <c r="E209" s="426" t="s">
        <v>50</v>
      </c>
      <c r="F209" s="445"/>
      <c r="G209" s="138">
        <v>27.215542222822698</v>
      </c>
      <c r="H209" s="796">
        <f t="shared" si="79"/>
        <v>301.33203617971293</v>
      </c>
      <c r="I209" s="796">
        <f t="shared" si="79"/>
        <v>33125.950599200514</v>
      </c>
      <c r="J209" s="796">
        <f t="shared" si="79"/>
        <v>2661.6535940287145</v>
      </c>
      <c r="K209" s="796">
        <f t="shared" si="79"/>
        <v>3950.9755093926506</v>
      </c>
      <c r="L209" s="796">
        <f t="shared" si="79"/>
        <v>29034.43855620061</v>
      </c>
      <c r="M209" s="796">
        <f t="shared" si="79"/>
        <v>11030.500993408115</v>
      </c>
      <c r="N209" s="796">
        <f t="shared" si="79"/>
        <v>2862.4111749338767</v>
      </c>
      <c r="O209" s="143"/>
    </row>
    <row r="210" spans="1:21">
      <c r="A210" s="409" t="b">
        <f>AND(IF(B210=SUMMARY!$B$11,TRUE,FALSE),IF(C210=SUMMARY!$B$12,TRUE,FALSE),IF(D210=SUMMARY!$B$28,TRUE,FALSE),IF(E210=SUMMARY!$B$10,TRUE,FALSE))</f>
        <v>0</v>
      </c>
      <c r="B210" s="149" t="s">
        <v>416</v>
      </c>
      <c r="C210" s="424" t="str">
        <f t="shared" si="75"/>
        <v>9.4% Oil Sands GREET</v>
      </c>
      <c r="D210" s="425" t="str">
        <f>Valuation!$B$6</f>
        <v>Medium</v>
      </c>
      <c r="E210" s="439" t="s">
        <v>410</v>
      </c>
      <c r="F210" s="445"/>
      <c r="G210" s="138">
        <v>27.215542222821874</v>
      </c>
      <c r="H210" s="796">
        <f t="shared" si="79"/>
        <v>115.75237136413593</v>
      </c>
      <c r="I210" s="796">
        <f t="shared" si="79"/>
        <v>8776.1423532498811</v>
      </c>
      <c r="J210" s="796">
        <f t="shared" si="79"/>
        <v>1296.7839308484397</v>
      </c>
      <c r="K210" s="796">
        <f t="shared" si="79"/>
        <v>1517.7104638853341</v>
      </c>
      <c r="L210" s="796">
        <f t="shared" si="79"/>
        <v>9990.3328702265153</v>
      </c>
      <c r="M210" s="796">
        <f t="shared" si="79"/>
        <v>4545.351081863796</v>
      </c>
      <c r="N210" s="796">
        <f t="shared" si="79"/>
        <v>964.51447348691818</v>
      </c>
      <c r="O210" s="143"/>
    </row>
    <row r="211" spans="1:21">
      <c r="A211" s="409" t="b">
        <f>AND(IF(B211=SUMMARY!$B$11,TRUE,FALSE),IF(C211=SUMMARY!$B$12,TRUE,FALSE),IF(D211=SUMMARY!$B$28,TRUE,FALSE),IF(E211=SUMMARY!$B$10,TRUE,FALSE))</f>
        <v>0</v>
      </c>
      <c r="B211" s="149" t="s">
        <v>416</v>
      </c>
      <c r="C211" s="424" t="str">
        <f t="shared" si="75"/>
        <v>9.4% Oil Sands GREET</v>
      </c>
      <c r="D211" s="425" t="str">
        <f>Valuation!$B$7</f>
        <v>High</v>
      </c>
      <c r="E211" s="426" t="s">
        <v>51</v>
      </c>
      <c r="F211" s="445"/>
      <c r="G211" s="138">
        <v>90.718474076075665</v>
      </c>
      <c r="H211" s="796">
        <f>H199</f>
        <v>45.287617591597659</v>
      </c>
      <c r="I211" s="796">
        <f t="shared" ref="I211:N211" si="80">I199</f>
        <v>1450.6192447576359</v>
      </c>
      <c r="J211" s="796">
        <f t="shared" si="80"/>
        <v>804.9408038823442</v>
      </c>
      <c r="K211" s="796">
        <f t="shared" si="80"/>
        <v>593.79769324104996</v>
      </c>
      <c r="L211" s="796">
        <f t="shared" si="80"/>
        <v>2430.5774382374793</v>
      </c>
      <c r="M211" s="796">
        <f t="shared" si="80"/>
        <v>1451.930126708035</v>
      </c>
      <c r="N211" s="796">
        <f t="shared" si="80"/>
        <v>236.91988971790562</v>
      </c>
      <c r="O211" s="143"/>
    </row>
    <row r="212" spans="1:21">
      <c r="A212" s="409" t="b">
        <f>AND(IF(B212=SUMMARY!$B$11,TRUE,FALSE),IF(C212=SUMMARY!$B$12,TRUE,FALSE),IF(D212=SUMMARY!$B$28,TRUE,FALSE),IF(E212=SUMMARY!$B$10,TRUE,FALSE))</f>
        <v>0</v>
      </c>
      <c r="B212" s="149" t="s">
        <v>416</v>
      </c>
      <c r="C212" s="424" t="str">
        <f t="shared" si="75"/>
        <v>9.4% Oil Sands GREET</v>
      </c>
      <c r="D212" s="425" t="str">
        <f>Valuation!$B$7</f>
        <v>High</v>
      </c>
      <c r="E212" s="426" t="s">
        <v>96</v>
      </c>
      <c r="F212" s="445"/>
      <c r="G212" s="138">
        <v>90.718474076075665</v>
      </c>
      <c r="H212" s="796">
        <f t="shared" ref="H212:N214" si="81">H200</f>
        <v>82.046827912289672</v>
      </c>
      <c r="I212" s="796">
        <f t="shared" si="81"/>
        <v>1807.4947448375542</v>
      </c>
      <c r="J212" s="796">
        <f t="shared" si="81"/>
        <v>1921.5845839411738</v>
      </c>
      <c r="K212" s="796">
        <f t="shared" si="81"/>
        <v>1075.7734617751676</v>
      </c>
      <c r="L212" s="796">
        <f t="shared" si="81"/>
        <v>8458.3238105395121</v>
      </c>
      <c r="M212" s="796">
        <f t="shared" si="81"/>
        <v>2619.6764687100963</v>
      </c>
      <c r="N212" s="796">
        <f t="shared" si="81"/>
        <v>813.0558081636666</v>
      </c>
      <c r="O212" s="143"/>
    </row>
    <row r="213" spans="1:21">
      <c r="A213" s="409" t="b">
        <f>AND(IF(B213=SUMMARY!$B$11,TRUE,FALSE),IF(C213=SUMMARY!$B$12,TRUE,FALSE),IF(D213=SUMMARY!$B$28,TRUE,FALSE),IF(E213=SUMMARY!$B$10,TRUE,FALSE))</f>
        <v>0</v>
      </c>
      <c r="B213" s="149" t="s">
        <v>416</v>
      </c>
      <c r="C213" s="424" t="str">
        <f t="shared" si="75"/>
        <v>9.4% Oil Sands GREET</v>
      </c>
      <c r="D213" s="425" t="str">
        <f>Valuation!$B$7</f>
        <v>High</v>
      </c>
      <c r="E213" s="426" t="s">
        <v>50</v>
      </c>
      <c r="F213" s="445"/>
      <c r="G213" s="138">
        <v>90.718474076075665</v>
      </c>
      <c r="H213" s="796">
        <f t="shared" si="81"/>
        <v>301.33203617971293</v>
      </c>
      <c r="I213" s="796">
        <f t="shared" si="81"/>
        <v>33125.950599200514</v>
      </c>
      <c r="J213" s="796">
        <f t="shared" si="81"/>
        <v>2661.6535940287145</v>
      </c>
      <c r="K213" s="796">
        <f t="shared" si="81"/>
        <v>3950.9755093926506</v>
      </c>
      <c r="L213" s="796">
        <f t="shared" si="81"/>
        <v>29034.43855620061</v>
      </c>
      <c r="M213" s="796">
        <f t="shared" si="81"/>
        <v>11030.500993408115</v>
      </c>
      <c r="N213" s="796">
        <f t="shared" si="81"/>
        <v>2862.4111749338767</v>
      </c>
      <c r="O213" s="143"/>
    </row>
    <row r="214" spans="1:21">
      <c r="A214" s="411" t="b">
        <f>AND(IF(B214=SUMMARY!$B$11,TRUE,FALSE),IF(C214=SUMMARY!$B$12,TRUE,FALSE),IF(D214=SUMMARY!$B$28,TRUE,FALSE),IF(E214=SUMMARY!$B$10,TRUE,FALSE))</f>
        <v>0</v>
      </c>
      <c r="B214" s="430" t="s">
        <v>416</v>
      </c>
      <c r="C214" s="431" t="str">
        <f t="shared" si="75"/>
        <v>9.4% Oil Sands GREET</v>
      </c>
      <c r="D214" s="432" t="str">
        <f>Valuation!$B$7</f>
        <v>High</v>
      </c>
      <c r="E214" s="433" t="s">
        <v>410</v>
      </c>
      <c r="F214" s="446"/>
      <c r="G214" s="367">
        <v>90.718474076072383</v>
      </c>
      <c r="H214" s="797">
        <f t="shared" si="81"/>
        <v>115.75237136413593</v>
      </c>
      <c r="I214" s="797">
        <f t="shared" si="81"/>
        <v>8776.1423532498811</v>
      </c>
      <c r="J214" s="797">
        <f t="shared" si="81"/>
        <v>1296.7839308484397</v>
      </c>
      <c r="K214" s="797">
        <f t="shared" si="81"/>
        <v>1517.7104638853341</v>
      </c>
      <c r="L214" s="797">
        <f t="shared" si="81"/>
        <v>9990.3328702265153</v>
      </c>
      <c r="M214" s="797">
        <f t="shared" si="81"/>
        <v>4545.351081863796</v>
      </c>
      <c r="N214" s="797">
        <f t="shared" si="81"/>
        <v>964.51447348691818</v>
      </c>
      <c r="O214" s="143"/>
    </row>
    <row r="215" spans="1:21">
      <c r="A215" s="409" t="b">
        <f>AND(IF(B215=SUMMARY!$B$11,TRUE,FALSE),IF(C215=SUMMARY!$B$12,TRUE,FALSE),IF(D215=SUMMARY!$B$28,TRUE,FALSE),IF(E215=SUMMARY!$B$10,TRUE,FALSE))</f>
        <v>0</v>
      </c>
      <c r="B215" s="149" t="s">
        <v>416</v>
      </c>
      <c r="C215" s="424" t="str">
        <f t="shared" ref="C215:C230" si="82">$D$15</f>
        <v>100% Oil Sands GREET</v>
      </c>
      <c r="D215" s="425" t="str">
        <f>Valuation!$B$8</f>
        <v>Zero</v>
      </c>
      <c r="E215" s="426" t="s">
        <v>51</v>
      </c>
      <c r="F215" s="445"/>
      <c r="G215" s="138">
        <v>0</v>
      </c>
      <c r="H215" s="801">
        <v>27.16366908390598</v>
      </c>
      <c r="I215" s="801">
        <v>830.67822283343889</v>
      </c>
      <c r="J215" s="801">
        <v>801.19650954139274</v>
      </c>
      <c r="K215" s="801">
        <v>356.16190251922609</v>
      </c>
      <c r="L215" s="801">
        <v>1917.9137334624645</v>
      </c>
      <c r="M215" s="801">
        <v>1640.1174365161871</v>
      </c>
      <c r="N215" s="801">
        <v>190.65058672037031</v>
      </c>
      <c r="O215" s="143"/>
      <c r="P215" s="541"/>
      <c r="Q215" s="541"/>
      <c r="R215" s="541"/>
      <c r="S215" s="541"/>
      <c r="T215" s="541"/>
      <c r="U215" s="541"/>
    </row>
    <row r="216" spans="1:21">
      <c r="A216" s="409" t="b">
        <f>AND(IF(B216=SUMMARY!$B$11,TRUE,FALSE),IF(C216=SUMMARY!$B$12,TRUE,FALSE),IF(D216=SUMMARY!$B$28,TRUE,FALSE),IF(E216=SUMMARY!$B$10,TRUE,FALSE))</f>
        <v>0</v>
      </c>
      <c r="B216" s="149" t="s">
        <v>416</v>
      </c>
      <c r="C216" s="424" t="str">
        <f t="shared" si="82"/>
        <v>100% Oil Sands GREET</v>
      </c>
      <c r="D216" s="425" t="str">
        <f>Valuation!$B$8</f>
        <v>Zero</v>
      </c>
      <c r="E216" s="426" t="s">
        <v>96</v>
      </c>
      <c r="F216" s="445"/>
      <c r="G216" s="138">
        <v>0</v>
      </c>
      <c r="H216" s="801">
        <v>97.26981246409828</v>
      </c>
      <c r="I216" s="801">
        <v>922.9477106607934</v>
      </c>
      <c r="J216" s="801">
        <v>1912.6156384987105</v>
      </c>
      <c r="K216" s="801">
        <v>1275.3726809839341</v>
      </c>
      <c r="L216" s="801">
        <v>8306.0918607466701</v>
      </c>
      <c r="M216" s="801">
        <v>1968.9156595880345</v>
      </c>
      <c r="N216" s="801">
        <v>809.15105824324712</v>
      </c>
      <c r="O216" s="143"/>
      <c r="P216" s="541"/>
      <c r="Q216" s="541"/>
      <c r="R216" s="541"/>
      <c r="S216" s="541"/>
      <c r="T216" s="541"/>
      <c r="U216" s="541"/>
    </row>
    <row r="217" spans="1:21">
      <c r="A217" s="409" t="b">
        <f>AND(IF(B217=SUMMARY!$B$11,TRUE,FALSE),IF(C217=SUMMARY!$B$12,TRUE,FALSE),IF(D217=SUMMARY!$B$28,TRUE,FALSE),IF(E217=SUMMARY!$B$10,TRUE,FALSE))</f>
        <v>0</v>
      </c>
      <c r="B217" s="149" t="s">
        <v>416</v>
      </c>
      <c r="C217" s="424" t="str">
        <f t="shared" si="82"/>
        <v>100% Oil Sands GREET</v>
      </c>
      <c r="D217" s="425" t="str">
        <f>Valuation!$B$8</f>
        <v>Zero</v>
      </c>
      <c r="E217" s="426" t="s">
        <v>50</v>
      </c>
      <c r="F217" s="445"/>
      <c r="G217" s="138">
        <v>0</v>
      </c>
      <c r="H217" s="801">
        <v>524.42382734146179</v>
      </c>
      <c r="I217" s="801">
        <v>77135.042731258931</v>
      </c>
      <c r="J217" s="801">
        <v>1298.2934739189059</v>
      </c>
      <c r="K217" s="801">
        <v>6876.088333111562</v>
      </c>
      <c r="L217" s="801">
        <v>44923.516207050438</v>
      </c>
      <c r="M217" s="801">
        <v>10016.646749274487</v>
      </c>
      <c r="N217" s="801">
        <v>4255.202670468836</v>
      </c>
      <c r="O217" s="143"/>
      <c r="P217" s="541"/>
      <c r="Q217" s="541"/>
      <c r="R217" s="541"/>
      <c r="S217" s="541"/>
      <c r="T217" s="541"/>
      <c r="U217" s="541"/>
    </row>
    <row r="218" spans="1:21">
      <c r="A218" s="409" t="b">
        <f>AND(IF(B218=SUMMARY!$B$11,TRUE,FALSE),IF(C218=SUMMARY!$B$12,TRUE,FALSE),IF(D218=SUMMARY!$B$28,TRUE,FALSE),IF(E218=SUMMARY!$B$10,TRUE,FALSE))</f>
        <v>0</v>
      </c>
      <c r="B218" s="149" t="s">
        <v>416</v>
      </c>
      <c r="C218" s="424" t="str">
        <f t="shared" si="82"/>
        <v>100% Oil Sands GREET</v>
      </c>
      <c r="D218" s="425" t="str">
        <f>Valuation!$B$8</f>
        <v>Zero</v>
      </c>
      <c r="E218" s="439" t="s">
        <v>410</v>
      </c>
      <c r="F218" s="445"/>
      <c r="G218" s="138">
        <v>0</v>
      </c>
      <c r="H218" s="801">
        <v>115.75237136413593</v>
      </c>
      <c r="I218" s="801">
        <v>8776.1423532498811</v>
      </c>
      <c r="J218" s="801">
        <v>1296.7839308484397</v>
      </c>
      <c r="K218" s="801">
        <v>1517.7104638853341</v>
      </c>
      <c r="L218" s="801">
        <v>9990.3328702265153</v>
      </c>
      <c r="M218" s="801">
        <v>4545.351081863796</v>
      </c>
      <c r="N218" s="801">
        <v>964.51447348691818</v>
      </c>
      <c r="O218" s="143"/>
      <c r="P218" s="541"/>
      <c r="Q218" s="541"/>
      <c r="R218" s="541"/>
      <c r="S218" s="541"/>
      <c r="T218" s="541"/>
      <c r="U218" s="541"/>
    </row>
    <row r="219" spans="1:21">
      <c r="A219" s="409" t="b">
        <f>AND(IF(B219=SUMMARY!$B$11,TRUE,FALSE),IF(C219=SUMMARY!$B$12,TRUE,FALSE),IF(D219=SUMMARY!$B$28,TRUE,FALSE),IF(E219=SUMMARY!$B$10,TRUE,FALSE))</f>
        <v>0</v>
      </c>
      <c r="B219" s="149" t="s">
        <v>416</v>
      </c>
      <c r="C219" s="424" t="str">
        <f t="shared" si="82"/>
        <v>100% Oil Sands GREET</v>
      </c>
      <c r="D219" s="425" t="str">
        <f>Valuation!$B$5</f>
        <v>Low</v>
      </c>
      <c r="E219" s="426" t="s">
        <v>51</v>
      </c>
      <c r="F219" s="445"/>
      <c r="G219" s="138">
        <v>9.0718474076075672</v>
      </c>
      <c r="H219" s="796">
        <f>H215</f>
        <v>27.16366908390598</v>
      </c>
      <c r="I219" s="796">
        <f t="shared" ref="I219:N219" si="83">I215</f>
        <v>830.67822283343889</v>
      </c>
      <c r="J219" s="796">
        <f t="shared" si="83"/>
        <v>801.19650954139274</v>
      </c>
      <c r="K219" s="796">
        <f t="shared" si="83"/>
        <v>356.16190251922609</v>
      </c>
      <c r="L219" s="796">
        <f t="shared" si="83"/>
        <v>1917.9137334624645</v>
      </c>
      <c r="M219" s="796">
        <f t="shared" si="83"/>
        <v>1640.1174365161871</v>
      </c>
      <c r="N219" s="796">
        <f t="shared" si="83"/>
        <v>190.65058672037031</v>
      </c>
      <c r="O219" s="143"/>
    </row>
    <row r="220" spans="1:21">
      <c r="A220" s="409" t="b">
        <f>AND(IF(B220=SUMMARY!$B$11,TRUE,FALSE),IF(C220=SUMMARY!$B$12,TRUE,FALSE),IF(D220=SUMMARY!$B$28,TRUE,FALSE),IF(E220=SUMMARY!$B$10,TRUE,FALSE))</f>
        <v>0</v>
      </c>
      <c r="B220" s="149" t="s">
        <v>416</v>
      </c>
      <c r="C220" s="424" t="str">
        <f t="shared" si="82"/>
        <v>100% Oil Sands GREET</v>
      </c>
      <c r="D220" s="425" t="str">
        <f>Valuation!$B$5</f>
        <v>Low</v>
      </c>
      <c r="E220" s="426" t="s">
        <v>96</v>
      </c>
      <c r="F220" s="445"/>
      <c r="G220" s="138">
        <v>9.0718474076075672</v>
      </c>
      <c r="H220" s="796">
        <f t="shared" ref="H220:N222" si="84">H216</f>
        <v>97.26981246409828</v>
      </c>
      <c r="I220" s="796">
        <f t="shared" si="84"/>
        <v>922.9477106607934</v>
      </c>
      <c r="J220" s="796">
        <f t="shared" si="84"/>
        <v>1912.6156384987105</v>
      </c>
      <c r="K220" s="796">
        <f t="shared" si="84"/>
        <v>1275.3726809839341</v>
      </c>
      <c r="L220" s="796">
        <f t="shared" si="84"/>
        <v>8306.0918607466701</v>
      </c>
      <c r="M220" s="796">
        <f t="shared" si="84"/>
        <v>1968.9156595880345</v>
      </c>
      <c r="N220" s="796">
        <f t="shared" si="84"/>
        <v>809.15105824324712</v>
      </c>
      <c r="O220" s="143"/>
    </row>
    <row r="221" spans="1:21">
      <c r="A221" s="409" t="b">
        <f>AND(IF(B221=SUMMARY!$B$11,TRUE,FALSE),IF(C221=SUMMARY!$B$12,TRUE,FALSE),IF(D221=SUMMARY!$B$28,TRUE,FALSE),IF(E221=SUMMARY!$B$10,TRUE,FALSE))</f>
        <v>0</v>
      </c>
      <c r="B221" s="149" t="s">
        <v>416</v>
      </c>
      <c r="C221" s="424" t="str">
        <f t="shared" si="82"/>
        <v>100% Oil Sands GREET</v>
      </c>
      <c r="D221" s="425" t="str">
        <f>Valuation!$B$5</f>
        <v>Low</v>
      </c>
      <c r="E221" s="426" t="s">
        <v>50</v>
      </c>
      <c r="F221" s="445"/>
      <c r="G221" s="138">
        <v>9.0718474076075672</v>
      </c>
      <c r="H221" s="796">
        <f t="shared" si="84"/>
        <v>524.42382734146179</v>
      </c>
      <c r="I221" s="796">
        <f t="shared" si="84"/>
        <v>77135.042731258931</v>
      </c>
      <c r="J221" s="796">
        <f t="shared" si="84"/>
        <v>1298.2934739189059</v>
      </c>
      <c r="K221" s="796">
        <f t="shared" si="84"/>
        <v>6876.088333111562</v>
      </c>
      <c r="L221" s="796">
        <f t="shared" si="84"/>
        <v>44923.516207050438</v>
      </c>
      <c r="M221" s="796">
        <f t="shared" si="84"/>
        <v>10016.646749274487</v>
      </c>
      <c r="N221" s="796">
        <f t="shared" si="84"/>
        <v>4255.202670468836</v>
      </c>
      <c r="O221" s="143"/>
    </row>
    <row r="222" spans="1:21">
      <c r="A222" s="409" t="b">
        <f>AND(IF(B222=SUMMARY!$B$11,TRUE,FALSE),IF(C222=SUMMARY!$B$12,TRUE,FALSE),IF(D222=SUMMARY!$B$28,TRUE,FALSE),IF(E222=SUMMARY!$B$10,TRUE,FALSE))</f>
        <v>0</v>
      </c>
      <c r="B222" s="149" t="s">
        <v>416</v>
      </c>
      <c r="C222" s="424" t="str">
        <f t="shared" si="82"/>
        <v>100% Oil Sands GREET</v>
      </c>
      <c r="D222" s="425" t="str">
        <f>Valuation!$B$5</f>
        <v>Low</v>
      </c>
      <c r="E222" s="439" t="s">
        <v>410</v>
      </c>
      <c r="F222" s="445"/>
      <c r="G222" s="138">
        <v>9.0718474076078923</v>
      </c>
      <c r="H222" s="796">
        <f t="shared" si="84"/>
        <v>115.75237136413593</v>
      </c>
      <c r="I222" s="796">
        <f t="shared" si="84"/>
        <v>8776.1423532498811</v>
      </c>
      <c r="J222" s="796">
        <f t="shared" si="84"/>
        <v>1296.7839308484397</v>
      </c>
      <c r="K222" s="796">
        <f t="shared" si="84"/>
        <v>1517.7104638853341</v>
      </c>
      <c r="L222" s="796">
        <f t="shared" si="84"/>
        <v>9990.3328702265153</v>
      </c>
      <c r="M222" s="796">
        <f t="shared" si="84"/>
        <v>4545.351081863796</v>
      </c>
      <c r="N222" s="796">
        <f t="shared" si="84"/>
        <v>964.51447348691818</v>
      </c>
      <c r="O222" s="143"/>
    </row>
    <row r="223" spans="1:21">
      <c r="A223" s="409" t="b">
        <f>AND(IF(B223=SUMMARY!$B$11,TRUE,FALSE),IF(C223=SUMMARY!$B$12,TRUE,FALSE),IF(D223=SUMMARY!$B$28,TRUE,FALSE),IF(E223=SUMMARY!$B$10,TRUE,FALSE))</f>
        <v>0</v>
      </c>
      <c r="B223" s="149" t="s">
        <v>416</v>
      </c>
      <c r="C223" s="424" t="str">
        <f t="shared" si="82"/>
        <v>100% Oil Sands GREET</v>
      </c>
      <c r="D223" s="425" t="str">
        <f>Valuation!$B$6</f>
        <v>Medium</v>
      </c>
      <c r="E223" s="426" t="s">
        <v>51</v>
      </c>
      <c r="F223" s="445"/>
      <c r="G223" s="138">
        <v>27.215542222822698</v>
      </c>
      <c r="H223" s="796">
        <f>H215</f>
        <v>27.16366908390598</v>
      </c>
      <c r="I223" s="796">
        <f t="shared" ref="I223:N223" si="85">I215</f>
        <v>830.67822283343889</v>
      </c>
      <c r="J223" s="796">
        <f t="shared" si="85"/>
        <v>801.19650954139274</v>
      </c>
      <c r="K223" s="796">
        <f t="shared" si="85"/>
        <v>356.16190251922609</v>
      </c>
      <c r="L223" s="796">
        <f t="shared" si="85"/>
        <v>1917.9137334624645</v>
      </c>
      <c r="M223" s="796">
        <f t="shared" si="85"/>
        <v>1640.1174365161871</v>
      </c>
      <c r="N223" s="796">
        <f t="shared" si="85"/>
        <v>190.65058672037031</v>
      </c>
      <c r="O223" s="143"/>
    </row>
    <row r="224" spans="1:21">
      <c r="A224" s="409" t="b">
        <f>AND(IF(B224=SUMMARY!$B$11,TRUE,FALSE),IF(C224=SUMMARY!$B$12,TRUE,FALSE),IF(D224=SUMMARY!$B$28,TRUE,FALSE),IF(E224=SUMMARY!$B$10,TRUE,FALSE))</f>
        <v>0</v>
      </c>
      <c r="B224" s="149" t="s">
        <v>416</v>
      </c>
      <c r="C224" s="424" t="str">
        <f t="shared" si="82"/>
        <v>100% Oil Sands GREET</v>
      </c>
      <c r="D224" s="425" t="str">
        <f>Valuation!$B$6</f>
        <v>Medium</v>
      </c>
      <c r="E224" s="426" t="s">
        <v>96</v>
      </c>
      <c r="F224" s="445"/>
      <c r="G224" s="138">
        <v>27.215542222822698</v>
      </c>
      <c r="H224" s="796">
        <f t="shared" ref="H224:N226" si="86">H216</f>
        <v>97.26981246409828</v>
      </c>
      <c r="I224" s="796">
        <f t="shared" si="86"/>
        <v>922.9477106607934</v>
      </c>
      <c r="J224" s="796">
        <f t="shared" si="86"/>
        <v>1912.6156384987105</v>
      </c>
      <c r="K224" s="796">
        <f t="shared" si="86"/>
        <v>1275.3726809839341</v>
      </c>
      <c r="L224" s="796">
        <f t="shared" si="86"/>
        <v>8306.0918607466701</v>
      </c>
      <c r="M224" s="796">
        <f t="shared" si="86"/>
        <v>1968.9156595880345</v>
      </c>
      <c r="N224" s="796">
        <f t="shared" si="86"/>
        <v>809.15105824324712</v>
      </c>
      <c r="O224" s="143"/>
    </row>
    <row r="225" spans="1:15">
      <c r="A225" s="409" t="b">
        <f>AND(IF(B225=SUMMARY!$B$11,TRUE,FALSE),IF(C225=SUMMARY!$B$12,TRUE,FALSE),IF(D225=SUMMARY!$B$28,TRUE,FALSE),IF(E225=SUMMARY!$B$10,TRUE,FALSE))</f>
        <v>0</v>
      </c>
      <c r="B225" s="149" t="s">
        <v>416</v>
      </c>
      <c r="C225" s="424" t="str">
        <f t="shared" si="82"/>
        <v>100% Oil Sands GREET</v>
      </c>
      <c r="D225" s="425" t="str">
        <f>Valuation!$B$6</f>
        <v>Medium</v>
      </c>
      <c r="E225" s="426" t="s">
        <v>50</v>
      </c>
      <c r="F225" s="445"/>
      <c r="G225" s="138">
        <v>27.215542222822698</v>
      </c>
      <c r="H225" s="796">
        <f t="shared" si="86"/>
        <v>524.42382734146179</v>
      </c>
      <c r="I225" s="796">
        <f t="shared" si="86"/>
        <v>77135.042731258931</v>
      </c>
      <c r="J225" s="796">
        <f t="shared" si="86"/>
        <v>1298.2934739189059</v>
      </c>
      <c r="K225" s="796">
        <f t="shared" si="86"/>
        <v>6876.088333111562</v>
      </c>
      <c r="L225" s="796">
        <f t="shared" si="86"/>
        <v>44923.516207050438</v>
      </c>
      <c r="M225" s="796">
        <f t="shared" si="86"/>
        <v>10016.646749274487</v>
      </c>
      <c r="N225" s="796">
        <f t="shared" si="86"/>
        <v>4255.202670468836</v>
      </c>
      <c r="O225" s="143"/>
    </row>
    <row r="226" spans="1:15">
      <c r="A226" s="409" t="b">
        <f>AND(IF(B226=SUMMARY!$B$11,TRUE,FALSE),IF(C226=SUMMARY!$B$12,TRUE,FALSE),IF(D226=SUMMARY!$B$28,TRUE,FALSE),IF(E226=SUMMARY!$B$10,TRUE,FALSE))</f>
        <v>0</v>
      </c>
      <c r="B226" s="149" t="s">
        <v>416</v>
      </c>
      <c r="C226" s="424" t="str">
        <f t="shared" si="82"/>
        <v>100% Oil Sands GREET</v>
      </c>
      <c r="D226" s="425" t="str">
        <f>Valuation!$B$6</f>
        <v>Medium</v>
      </c>
      <c r="E226" s="439" t="s">
        <v>410</v>
      </c>
      <c r="F226" s="445"/>
      <c r="G226" s="138">
        <v>27.215542222821874</v>
      </c>
      <c r="H226" s="796">
        <f t="shared" si="86"/>
        <v>115.75237136413593</v>
      </c>
      <c r="I226" s="796">
        <f t="shared" si="86"/>
        <v>8776.1423532498811</v>
      </c>
      <c r="J226" s="796">
        <f t="shared" si="86"/>
        <v>1296.7839308484397</v>
      </c>
      <c r="K226" s="796">
        <f t="shared" si="86"/>
        <v>1517.7104638853341</v>
      </c>
      <c r="L226" s="796">
        <f t="shared" si="86"/>
        <v>9990.3328702265153</v>
      </c>
      <c r="M226" s="796">
        <f t="shared" si="86"/>
        <v>4545.351081863796</v>
      </c>
      <c r="N226" s="796">
        <f t="shared" si="86"/>
        <v>964.51447348691818</v>
      </c>
      <c r="O226" s="143"/>
    </row>
    <row r="227" spans="1:15">
      <c r="A227" s="409" t="b">
        <f>AND(IF(B227=SUMMARY!$B$11,TRUE,FALSE),IF(C227=SUMMARY!$B$12,TRUE,FALSE),IF(D227=SUMMARY!$B$28,TRUE,FALSE),IF(E227=SUMMARY!$B$10,TRUE,FALSE))</f>
        <v>0</v>
      </c>
      <c r="B227" s="149" t="s">
        <v>416</v>
      </c>
      <c r="C227" s="424" t="str">
        <f t="shared" si="82"/>
        <v>100% Oil Sands GREET</v>
      </c>
      <c r="D227" s="425" t="str">
        <f>Valuation!$B$7</f>
        <v>High</v>
      </c>
      <c r="E227" s="426" t="s">
        <v>51</v>
      </c>
      <c r="F227" s="445"/>
      <c r="G227" s="138">
        <v>90.718474076075665</v>
      </c>
      <c r="H227" s="796">
        <f>H215</f>
        <v>27.16366908390598</v>
      </c>
      <c r="I227" s="796">
        <f t="shared" ref="I227:N227" si="87">I215</f>
        <v>830.67822283343889</v>
      </c>
      <c r="J227" s="796">
        <f t="shared" si="87"/>
        <v>801.19650954139274</v>
      </c>
      <c r="K227" s="796">
        <f t="shared" si="87"/>
        <v>356.16190251922609</v>
      </c>
      <c r="L227" s="796">
        <f t="shared" si="87"/>
        <v>1917.9137334624645</v>
      </c>
      <c r="M227" s="796">
        <f t="shared" si="87"/>
        <v>1640.1174365161871</v>
      </c>
      <c r="N227" s="796">
        <f t="shared" si="87"/>
        <v>190.65058672037031</v>
      </c>
      <c r="O227" s="143"/>
    </row>
    <row r="228" spans="1:15">
      <c r="A228" s="409" t="b">
        <f>AND(IF(B228=SUMMARY!$B$11,TRUE,FALSE),IF(C228=SUMMARY!$B$12,TRUE,FALSE),IF(D228=SUMMARY!$B$28,TRUE,FALSE),IF(E228=SUMMARY!$B$10,TRUE,FALSE))</f>
        <v>0</v>
      </c>
      <c r="B228" s="149" t="s">
        <v>416</v>
      </c>
      <c r="C228" s="424" t="str">
        <f t="shared" si="82"/>
        <v>100% Oil Sands GREET</v>
      </c>
      <c r="D228" s="425" t="str">
        <f>Valuation!$B$7</f>
        <v>High</v>
      </c>
      <c r="E228" s="426" t="s">
        <v>96</v>
      </c>
      <c r="F228" s="445"/>
      <c r="G228" s="138">
        <v>90.718474076075665</v>
      </c>
      <c r="H228" s="796">
        <f t="shared" ref="H228:N230" si="88">H216</f>
        <v>97.26981246409828</v>
      </c>
      <c r="I228" s="796">
        <f t="shared" si="88"/>
        <v>922.9477106607934</v>
      </c>
      <c r="J228" s="796">
        <f t="shared" si="88"/>
        <v>1912.6156384987105</v>
      </c>
      <c r="K228" s="796">
        <f t="shared" si="88"/>
        <v>1275.3726809839341</v>
      </c>
      <c r="L228" s="796">
        <f t="shared" si="88"/>
        <v>8306.0918607466701</v>
      </c>
      <c r="M228" s="796">
        <f t="shared" si="88"/>
        <v>1968.9156595880345</v>
      </c>
      <c r="N228" s="796">
        <f t="shared" si="88"/>
        <v>809.15105824324712</v>
      </c>
      <c r="O228" s="143"/>
    </row>
    <row r="229" spans="1:15">
      <c r="A229" s="409" t="b">
        <f>AND(IF(B229=SUMMARY!$B$11,TRUE,FALSE),IF(C229=SUMMARY!$B$12,TRUE,FALSE),IF(D229=SUMMARY!$B$28,TRUE,FALSE),IF(E229=SUMMARY!$B$10,TRUE,FALSE))</f>
        <v>0</v>
      </c>
      <c r="B229" s="149" t="s">
        <v>416</v>
      </c>
      <c r="C229" s="424" t="str">
        <f t="shared" si="82"/>
        <v>100% Oil Sands GREET</v>
      </c>
      <c r="D229" s="425" t="str">
        <f>Valuation!$B$7</f>
        <v>High</v>
      </c>
      <c r="E229" s="426" t="s">
        <v>50</v>
      </c>
      <c r="F229" s="445"/>
      <c r="G229" s="138">
        <v>90.718474076075665</v>
      </c>
      <c r="H229" s="796">
        <f t="shared" si="88"/>
        <v>524.42382734146179</v>
      </c>
      <c r="I229" s="796">
        <f t="shared" si="88"/>
        <v>77135.042731258931</v>
      </c>
      <c r="J229" s="796">
        <f t="shared" si="88"/>
        <v>1298.2934739189059</v>
      </c>
      <c r="K229" s="796">
        <f t="shared" si="88"/>
        <v>6876.088333111562</v>
      </c>
      <c r="L229" s="796">
        <f t="shared" si="88"/>
        <v>44923.516207050438</v>
      </c>
      <c r="M229" s="796">
        <f t="shared" si="88"/>
        <v>10016.646749274487</v>
      </c>
      <c r="N229" s="796">
        <f t="shared" si="88"/>
        <v>4255.202670468836</v>
      </c>
      <c r="O229" s="143"/>
    </row>
    <row r="230" spans="1:15">
      <c r="A230" s="409" t="b">
        <f>AND(IF(B230=SUMMARY!$B$11,TRUE,FALSE),IF(C230=SUMMARY!$B$12,TRUE,FALSE),IF(D230=SUMMARY!$B$28,TRUE,FALSE),IF(E230=SUMMARY!$B$10,TRUE,FALSE))</f>
        <v>0</v>
      </c>
      <c r="B230" s="430" t="s">
        <v>416</v>
      </c>
      <c r="C230" s="431" t="str">
        <f t="shared" si="82"/>
        <v>100% Oil Sands GREET</v>
      </c>
      <c r="D230" s="432" t="str">
        <f>Valuation!$B$7</f>
        <v>High</v>
      </c>
      <c r="E230" s="433" t="s">
        <v>410</v>
      </c>
      <c r="F230" s="446"/>
      <c r="G230" s="367">
        <v>90.718474076072383</v>
      </c>
      <c r="H230" s="797">
        <f t="shared" si="88"/>
        <v>115.75237136413593</v>
      </c>
      <c r="I230" s="797">
        <f t="shared" si="88"/>
        <v>8776.1423532498811</v>
      </c>
      <c r="J230" s="797">
        <f t="shared" si="88"/>
        <v>1296.7839308484397</v>
      </c>
      <c r="K230" s="797">
        <f t="shared" si="88"/>
        <v>1517.7104638853341</v>
      </c>
      <c r="L230" s="797">
        <f t="shared" si="88"/>
        <v>9990.3328702265153</v>
      </c>
      <c r="M230" s="797">
        <f t="shared" si="88"/>
        <v>4545.351081863796</v>
      </c>
      <c r="N230" s="797">
        <f t="shared" si="88"/>
        <v>964.51447348691818</v>
      </c>
      <c r="O230" s="143"/>
    </row>
    <row r="231" spans="1:15">
      <c r="A231" s="410" t="s">
        <v>409</v>
      </c>
      <c r="B231" s="435" t="str">
        <f>SUMMARY!B11</f>
        <v>Upstream (Oil/Gas Counties)</v>
      </c>
      <c r="C231" s="410" t="str">
        <f>SUMMARY!B12</f>
        <v>9.4% Oil Sands GREET</v>
      </c>
      <c r="D231" s="410" t="str">
        <f>SUMMARY!B28</f>
        <v>Medium</v>
      </c>
      <c r="E231" s="436" t="str">
        <f>SUMMARY!B10</f>
        <v>Weighted Avg.</v>
      </c>
      <c r="F231" s="437">
        <f t="array" ref="F231">SUM(IF($A87:$A230,F87:F230))</f>
        <v>0</v>
      </c>
      <c r="G231" s="437">
        <f t="array" ref="G231">SUM(IF($A87:$A230,G87:G230))</f>
        <v>27.215542222822695</v>
      </c>
      <c r="H231" s="437">
        <f t="array" ref="H231">SUM(IF($A87:$A230,H87:H230))</f>
        <v>190.97252351455793</v>
      </c>
      <c r="I231" s="437">
        <f t="array" ref="I231">SUM(IF($A87:$A230,I87:I230))</f>
        <v>16060.699854904535</v>
      </c>
      <c r="J231" s="437">
        <f t="array" ref="J231">SUM(IF($A87:$A230,J87:J230))</f>
        <v>2279.8656134269131</v>
      </c>
      <c r="K231" s="437">
        <f t="array" ref="K231">SUM(IF($A87:$A230,K87:K230))</f>
        <v>2503.9745953959377</v>
      </c>
      <c r="L231" s="437">
        <f t="array" ref="L231">SUM(IF($A87:$A230,L87:L230))</f>
        <v>17328.791864888779</v>
      </c>
      <c r="M231" s="437">
        <f t="array" ref="M231">SUM(IF($A87:$A230,M87:M230))</f>
        <v>5934.2528940232096</v>
      </c>
      <c r="N231" s="437">
        <f t="array" ref="N231">SUM(IF($A87:$A230,N87:N230))</f>
        <v>1657.7342798945515</v>
      </c>
      <c r="O231" s="143"/>
    </row>
  </sheetData>
  <mergeCells count="9">
    <mergeCell ref="F27:N27"/>
    <mergeCell ref="F85:N85"/>
    <mergeCell ref="A81:A83"/>
    <mergeCell ref="B27:E27"/>
    <mergeCell ref="B4:B5"/>
    <mergeCell ref="B6:B7"/>
    <mergeCell ref="C10:E10"/>
    <mergeCell ref="B8:B10"/>
    <mergeCell ref="B85:E85"/>
  </mergeCells>
  <conditionalFormatting sqref="A87:A230">
    <cfRule type="cellIs" dxfId="3" priority="2" operator="equal">
      <formula>TRUE</formula>
    </cfRule>
    <cfRule type="colorScale" priority="3">
      <colorScale>
        <cfvo type="min" val="0"/>
        <cfvo type="percentile" val="50"/>
        <cfvo type="max" val="0"/>
        <color rgb="FFF8696B"/>
        <color rgb="FFFFEB84"/>
        <color rgb="FF63BE7B"/>
      </colorScale>
    </cfRule>
    <cfRule type="cellIs" dxfId="2" priority="4" operator="equal">
      <formula>TRUE</formula>
    </cfRule>
  </conditionalFormatting>
  <conditionalFormatting sqref="A29:A76">
    <cfRule type="cellIs" dxfId="1" priority="1" operator="equal">
      <formula>TRUE</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dimension ref="A1:AO209"/>
  <sheetViews>
    <sheetView zoomScale="70" zoomScaleNormal="70" workbookViewId="0"/>
  </sheetViews>
  <sheetFormatPr defaultRowHeight="15"/>
  <cols>
    <col min="1" max="1" width="9.28515625" style="170" customWidth="1"/>
    <col min="2" max="2" width="6.85546875" style="639" bestFit="1" customWidth="1"/>
    <col min="3" max="3" width="18.85546875" style="582" customWidth="1"/>
    <col min="4" max="4" width="21.28515625" style="170" customWidth="1"/>
    <col min="5" max="14" width="9.140625" style="170" customWidth="1"/>
    <col min="15" max="15" width="21" style="170" customWidth="1"/>
    <col min="16" max="24" width="9.5703125" style="170" customWidth="1"/>
    <col min="25" max="25" width="9.140625" style="170"/>
    <col min="26" max="26" width="14.7109375" style="170" bestFit="1" customWidth="1"/>
    <col min="27" max="29" width="9.28515625" style="170" bestFit="1" customWidth="1"/>
    <col min="30" max="30" width="9.42578125" style="170" bestFit="1" customWidth="1"/>
    <col min="31" max="32" width="9.28515625" style="170" bestFit="1" customWidth="1"/>
    <col min="33" max="16384" width="9.140625" style="170"/>
  </cols>
  <sheetData>
    <row r="1" spans="1:25" ht="28.5">
      <c r="A1" s="472" t="s">
        <v>476</v>
      </c>
      <c r="B1" s="638"/>
      <c r="C1" s="634"/>
    </row>
    <row r="3" spans="1:25" ht="207" customHeight="1"/>
    <row r="4" spans="1:25" ht="18.75">
      <c r="A4" s="558" t="s">
        <v>438</v>
      </c>
      <c r="B4" s="638"/>
      <c r="C4" s="634"/>
    </row>
    <row r="5" spans="1:25" ht="28.5">
      <c r="C5" s="631"/>
      <c r="D5" s="473" t="s">
        <v>403</v>
      </c>
      <c r="O5" s="473" t="s">
        <v>523</v>
      </c>
    </row>
    <row r="6" spans="1:25">
      <c r="C6" s="631"/>
      <c r="D6" s="486" t="s">
        <v>452</v>
      </c>
      <c r="E6" s="484"/>
      <c r="F6" s="484"/>
      <c r="G6" s="484"/>
      <c r="H6" s="484"/>
      <c r="I6" s="484"/>
      <c r="J6" s="484"/>
      <c r="K6" s="484"/>
      <c r="L6" s="484"/>
      <c r="M6" s="484"/>
      <c r="N6" s="645"/>
      <c r="O6" s="486" t="s">
        <v>451</v>
      </c>
      <c r="P6" s="484"/>
      <c r="Q6" s="484"/>
      <c r="R6" s="484"/>
      <c r="S6" s="484"/>
      <c r="T6" s="484"/>
      <c r="U6" s="484"/>
      <c r="V6" s="484"/>
      <c r="W6" s="484"/>
      <c r="X6" s="484"/>
      <c r="Y6" s="484"/>
    </row>
    <row r="7" spans="1:25">
      <c r="C7" s="631"/>
      <c r="D7" s="487"/>
      <c r="E7" s="487" t="s">
        <v>1</v>
      </c>
      <c r="F7" s="487" t="s">
        <v>15</v>
      </c>
      <c r="G7" s="488" t="s">
        <v>2</v>
      </c>
      <c r="H7" s="488" t="s">
        <v>43</v>
      </c>
      <c r="I7" s="488" t="s">
        <v>25</v>
      </c>
      <c r="J7" s="488" t="s">
        <v>26</v>
      </c>
      <c r="K7" s="488" t="s">
        <v>27</v>
      </c>
      <c r="L7" s="488" t="s">
        <v>39</v>
      </c>
      <c r="M7" s="488" t="s">
        <v>3</v>
      </c>
      <c r="N7" s="646" t="s">
        <v>386</v>
      </c>
      <c r="O7" s="487"/>
      <c r="P7" s="487" t="s">
        <v>1</v>
      </c>
      <c r="Q7" s="487" t="s">
        <v>15</v>
      </c>
      <c r="R7" s="488" t="s">
        <v>2</v>
      </c>
      <c r="S7" s="488" t="s">
        <v>43</v>
      </c>
      <c r="T7" s="488" t="s">
        <v>25</v>
      </c>
      <c r="U7" s="488" t="s">
        <v>26</v>
      </c>
      <c r="V7" s="488" t="s">
        <v>27</v>
      </c>
      <c r="W7" s="488" t="s">
        <v>39</v>
      </c>
      <c r="X7" s="488" t="s">
        <v>3</v>
      </c>
      <c r="Y7" s="488" t="s">
        <v>386</v>
      </c>
    </row>
    <row r="8" spans="1:25" ht="15" customHeight="1">
      <c r="A8" s="951" t="s">
        <v>407</v>
      </c>
      <c r="B8" s="951"/>
      <c r="C8" s="951"/>
      <c r="D8" s="484" t="s">
        <v>8</v>
      </c>
      <c r="E8" s="548"/>
      <c r="F8" s="548">
        <f t="shared" ref="F8:M8" si="0">F33*F118*USD_BaseYear/USD_2000</f>
        <v>40.50611701502546</v>
      </c>
      <c r="G8" s="548">
        <f t="shared" si="0"/>
        <v>0.16216248045901427</v>
      </c>
      <c r="H8" s="548">
        <f t="shared" si="0"/>
        <v>0</v>
      </c>
      <c r="I8" s="548">
        <f t="shared" si="0"/>
        <v>5.410657671893369</v>
      </c>
      <c r="J8" s="548">
        <f t="shared" si="0"/>
        <v>7.1973355868414428</v>
      </c>
      <c r="K8" s="548">
        <f t="shared" si="0"/>
        <v>17.89804103553325</v>
      </c>
      <c r="L8" s="548">
        <f t="shared" si="0"/>
        <v>37.504305383827067</v>
      </c>
      <c r="M8" s="548">
        <f t="shared" si="0"/>
        <v>4.3608081963176941</v>
      </c>
      <c r="N8" s="647">
        <f>SUM(E8:M8)</f>
        <v>113.03942736989728</v>
      </c>
      <c r="O8" s="484" t="s">
        <v>8</v>
      </c>
      <c r="P8" s="548"/>
      <c r="Q8" s="548">
        <f t="shared" ref="Q8:X8" si="1">Q33*Q118/3*(1+PbAcid_battery_replacements)*USD_BaseYear/USD_2000</f>
        <v>14.140643432635926</v>
      </c>
      <c r="R8" s="548">
        <f t="shared" si="1"/>
        <v>3.8868725372608638E-2</v>
      </c>
      <c r="S8" s="548">
        <f t="shared" si="1"/>
        <v>0</v>
      </c>
      <c r="T8" s="548">
        <f t="shared" si="1"/>
        <v>0.91679294637300623</v>
      </c>
      <c r="U8" s="548">
        <f t="shared" si="1"/>
        <v>2.0469832040793299</v>
      </c>
      <c r="V8" s="548">
        <f t="shared" si="1"/>
        <v>3.6185477497462784</v>
      </c>
      <c r="W8" s="548">
        <f t="shared" si="1"/>
        <v>9.9618051186306751</v>
      </c>
      <c r="X8" s="548">
        <f t="shared" si="1"/>
        <v>7.023617443612018E-2</v>
      </c>
      <c r="Y8" s="548">
        <f>SUM(P8:X8)</f>
        <v>30.793877351273942</v>
      </c>
    </row>
    <row r="9" spans="1:25">
      <c r="A9" s="951"/>
      <c r="B9" s="951"/>
      <c r="C9" s="951"/>
      <c r="D9" s="484" t="s">
        <v>9</v>
      </c>
      <c r="E9" s="548"/>
      <c r="F9" s="548">
        <f t="shared" ref="F9:M9" si="2">F39*F134*USD_BaseYear/USD_2000</f>
        <v>40.50611701502546</v>
      </c>
      <c r="G9" s="548">
        <f t="shared" si="2"/>
        <v>0.16216248045901427</v>
      </c>
      <c r="H9" s="548">
        <f t="shared" si="2"/>
        <v>0</v>
      </c>
      <c r="I9" s="548">
        <f t="shared" si="2"/>
        <v>5.410657671893369</v>
      </c>
      <c r="J9" s="548">
        <f t="shared" si="2"/>
        <v>7.1973355868414428</v>
      </c>
      <c r="K9" s="548">
        <f t="shared" si="2"/>
        <v>17.89804103553325</v>
      </c>
      <c r="L9" s="548">
        <f t="shared" si="2"/>
        <v>37.504305383827067</v>
      </c>
      <c r="M9" s="548">
        <f t="shared" si="2"/>
        <v>4.3608081963176941</v>
      </c>
      <c r="N9" s="647">
        <f t="shared" ref="N9:N24" si="3">SUM(E9:M9)</f>
        <v>113.03942736989728</v>
      </c>
      <c r="O9" s="484" t="s">
        <v>9</v>
      </c>
      <c r="P9" s="548"/>
      <c r="Q9" s="548">
        <f t="shared" ref="Q9:X9" si="4">Q39*Q134/2*(1+NiMH_battery_replacements)*USD_BaseYear/USD_2000</f>
        <v>14.161154664497774</v>
      </c>
      <c r="R9" s="548">
        <f t="shared" si="4"/>
        <v>3.8925105087017665E-2</v>
      </c>
      <c r="S9" s="548">
        <f t="shared" si="4"/>
        <v>0</v>
      </c>
      <c r="T9" s="548">
        <f t="shared" si="4"/>
        <v>0.91812276936033643</v>
      </c>
      <c r="U9" s="548">
        <f t="shared" si="4"/>
        <v>2.0499523863033344</v>
      </c>
      <c r="V9" s="548">
        <f t="shared" si="4"/>
        <v>3.6237965117458137</v>
      </c>
      <c r="W9" s="548">
        <f t="shared" si="4"/>
        <v>9.9762548779732487</v>
      </c>
      <c r="X9" s="548">
        <f t="shared" si="4"/>
        <v>7.0338053142404738E-2</v>
      </c>
      <c r="Y9" s="548">
        <f t="shared" ref="Y9:Y18" si="5">SUM(P9:X9)</f>
        <v>30.838544368109925</v>
      </c>
    </row>
    <row r="10" spans="1:25">
      <c r="A10" s="951"/>
      <c r="B10" s="951"/>
      <c r="C10" s="951"/>
      <c r="D10" s="484" t="s">
        <v>10</v>
      </c>
      <c r="E10" s="548"/>
      <c r="F10" s="548">
        <f t="shared" ref="F10:M10" si="6">F51*F150*USD_BaseYear/USD_2000</f>
        <v>40.50611701502546</v>
      </c>
      <c r="G10" s="548">
        <f t="shared" si="6"/>
        <v>0.16216248045901427</v>
      </c>
      <c r="H10" s="548">
        <f t="shared" si="6"/>
        <v>0</v>
      </c>
      <c r="I10" s="548">
        <f t="shared" si="6"/>
        <v>5.410657671893369</v>
      </c>
      <c r="J10" s="548">
        <f t="shared" si="6"/>
        <v>7.1973355868414428</v>
      </c>
      <c r="K10" s="548">
        <f t="shared" si="6"/>
        <v>17.89804103553325</v>
      </c>
      <c r="L10" s="548">
        <f t="shared" si="6"/>
        <v>37.504305383827067</v>
      </c>
      <c r="M10" s="548">
        <f t="shared" si="6"/>
        <v>4.3608081963176941</v>
      </c>
      <c r="N10" s="647">
        <f t="shared" si="3"/>
        <v>113.03942736989728</v>
      </c>
      <c r="O10" s="484" t="s">
        <v>10</v>
      </c>
      <c r="P10" s="548"/>
      <c r="Q10" s="548">
        <f t="shared" ref="Q10:X10" si="7">Q51*Q150*(1+Li_ion_battery_replacements)*USD_BaseYear/USD_2000</f>
        <v>11.025538247364635</v>
      </c>
      <c r="R10" s="548">
        <f t="shared" si="7"/>
        <v>3.0306161120853884E-2</v>
      </c>
      <c r="S10" s="548">
        <f t="shared" si="7"/>
        <v>0</v>
      </c>
      <c r="T10" s="548">
        <f t="shared" si="7"/>
        <v>0.71482855382808097</v>
      </c>
      <c r="U10" s="548">
        <f t="shared" si="7"/>
        <v>1.5960441769008387</v>
      </c>
      <c r="V10" s="548">
        <f t="shared" si="7"/>
        <v>2.8214017844947388</v>
      </c>
      <c r="W10" s="548">
        <f t="shared" si="7"/>
        <v>7.7672747970409226</v>
      </c>
      <c r="X10" s="548">
        <f t="shared" si="7"/>
        <v>5.4763535427727307E-2</v>
      </c>
      <c r="Y10" s="548">
        <f t="shared" si="5"/>
        <v>24.010157256177795</v>
      </c>
    </row>
    <row r="11" spans="1:25">
      <c r="A11" s="951"/>
      <c r="B11" s="951"/>
      <c r="C11" s="951"/>
      <c r="D11" s="484" t="s">
        <v>11</v>
      </c>
      <c r="E11" s="548"/>
      <c r="F11" s="548">
        <f t="shared" ref="F11:M11" si="8">F57*F150*USD_BaseYear/USD_2000</f>
        <v>40.50611701502546</v>
      </c>
      <c r="G11" s="548">
        <f t="shared" si="8"/>
        <v>0.16216248045901427</v>
      </c>
      <c r="H11" s="548">
        <f t="shared" si="8"/>
        <v>0</v>
      </c>
      <c r="I11" s="548">
        <f t="shared" si="8"/>
        <v>5.410657671893369</v>
      </c>
      <c r="J11" s="548">
        <f t="shared" si="8"/>
        <v>7.1973355868414428</v>
      </c>
      <c r="K11" s="548">
        <f t="shared" si="8"/>
        <v>17.89804103553325</v>
      </c>
      <c r="L11" s="548">
        <f t="shared" si="8"/>
        <v>37.504305383827067</v>
      </c>
      <c r="M11" s="548">
        <f t="shared" si="8"/>
        <v>4.3608081963176941</v>
      </c>
      <c r="N11" s="647">
        <f t="shared" si="3"/>
        <v>113.03942736989728</v>
      </c>
      <c r="O11" s="484" t="s">
        <v>11</v>
      </c>
      <c r="P11" s="548"/>
      <c r="Q11" s="548">
        <f t="shared" ref="Q11:X11" si="9">Q57*Q150*(1+Li_ion_battery_replacements)*USD_BaseYear/USD_2000</f>
        <v>37.815010554097022</v>
      </c>
      <c r="R11" s="548">
        <f t="shared" si="9"/>
        <v>0.10394302544940898</v>
      </c>
      <c r="S11" s="548">
        <f t="shared" si="9"/>
        <v>0</v>
      </c>
      <c r="T11" s="548">
        <f t="shared" si="9"/>
        <v>2.4516943028917342</v>
      </c>
      <c r="U11" s="548">
        <f t="shared" si="9"/>
        <v>5.4740572333270388</v>
      </c>
      <c r="V11" s="548">
        <f t="shared" si="9"/>
        <v>9.6767464648284598</v>
      </c>
      <c r="W11" s="548">
        <f t="shared" si="9"/>
        <v>26.639931025306652</v>
      </c>
      <c r="X11" s="548">
        <f t="shared" si="9"/>
        <v>0.18782608374463386</v>
      </c>
      <c r="Y11" s="548">
        <f t="shared" si="5"/>
        <v>82.349208689644954</v>
      </c>
    </row>
    <row r="12" spans="1:25">
      <c r="A12" s="951"/>
      <c r="B12" s="951"/>
      <c r="C12" s="951"/>
      <c r="D12" s="546" t="s">
        <v>24</v>
      </c>
      <c r="E12" s="549"/>
      <c r="F12" s="549">
        <f t="shared" ref="F12:M12" si="10">F63*F150*USD_BaseYear/USD_2000</f>
        <v>40.50611701502546</v>
      </c>
      <c r="G12" s="549">
        <f t="shared" si="10"/>
        <v>0.16216248045901427</v>
      </c>
      <c r="H12" s="549">
        <f t="shared" si="10"/>
        <v>0</v>
      </c>
      <c r="I12" s="549">
        <f t="shared" si="10"/>
        <v>5.410657671893369</v>
      </c>
      <c r="J12" s="549">
        <f t="shared" si="10"/>
        <v>7.1973355868414428</v>
      </c>
      <c r="K12" s="549">
        <f t="shared" si="10"/>
        <v>17.89804103553325</v>
      </c>
      <c r="L12" s="549">
        <f t="shared" si="10"/>
        <v>37.504305383827067</v>
      </c>
      <c r="M12" s="549">
        <f t="shared" si="10"/>
        <v>4.3608081963176941</v>
      </c>
      <c r="N12" s="648">
        <f t="shared" si="3"/>
        <v>113.03942736989728</v>
      </c>
      <c r="O12" s="546" t="s">
        <v>24</v>
      </c>
      <c r="P12" s="549"/>
      <c r="Q12" s="549">
        <f>PV((1+SUMMARY!B40)^Battery_life__years-1,1+Li_ion_battery_replacements,-Q63*Q150) * USD_BaseYear/USD_2000</f>
        <v>62.28339397232584</v>
      </c>
      <c r="R12" s="549">
        <f t="shared" ref="R12:X12" si="11">R63*R150*(1+Li_ion_battery_replacements)*USD_BaseYear/USD_2000</f>
        <v>0.43111036426241844</v>
      </c>
      <c r="S12" s="549">
        <f t="shared" si="11"/>
        <v>0</v>
      </c>
      <c r="T12" s="549">
        <f t="shared" si="11"/>
        <v>10.168559356531233</v>
      </c>
      <c r="U12" s="549">
        <f t="shared" si="11"/>
        <v>22.704003444671379</v>
      </c>
      <c r="V12" s="549">
        <f t="shared" si="11"/>
        <v>40.134926564724005</v>
      </c>
      <c r="W12" s="549">
        <f t="shared" si="11"/>
        <v>110.49082243459901</v>
      </c>
      <c r="X12" s="549">
        <f t="shared" si="11"/>
        <v>0.77902072824062729</v>
      </c>
      <c r="Y12" s="549">
        <f t="shared" si="5"/>
        <v>246.99183686535449</v>
      </c>
    </row>
    <row r="13" spans="1:25">
      <c r="A13" s="951"/>
      <c r="B13" s="951"/>
      <c r="C13" s="951"/>
      <c r="D13" s="550"/>
      <c r="E13" s="551"/>
      <c r="F13" s="551" t="s">
        <v>241</v>
      </c>
      <c r="G13" s="551" t="s">
        <v>241</v>
      </c>
      <c r="H13" s="551" t="s">
        <v>241</v>
      </c>
      <c r="I13" s="551" t="s">
        <v>241</v>
      </c>
      <c r="J13" s="551" t="s">
        <v>241</v>
      </c>
      <c r="K13" s="551" t="s">
        <v>241</v>
      </c>
      <c r="L13" s="551" t="s">
        <v>241</v>
      </c>
      <c r="M13" s="551" t="s">
        <v>241</v>
      </c>
      <c r="N13" s="551" t="s">
        <v>241</v>
      </c>
      <c r="O13" s="550"/>
      <c r="P13" s="551"/>
      <c r="Q13" s="551" t="s">
        <v>241</v>
      </c>
      <c r="R13" s="551" t="s">
        <v>241</v>
      </c>
      <c r="S13" s="551" t="s">
        <v>241</v>
      </c>
      <c r="T13" s="551" t="s">
        <v>241</v>
      </c>
      <c r="U13" s="551" t="s">
        <v>241</v>
      </c>
      <c r="V13" s="551" t="s">
        <v>241</v>
      </c>
      <c r="W13" s="551" t="s">
        <v>241</v>
      </c>
      <c r="X13" s="551" t="s">
        <v>241</v>
      </c>
      <c r="Y13" s="551" t="s">
        <v>241</v>
      </c>
    </row>
    <row r="14" spans="1:25" ht="15" customHeight="1">
      <c r="A14" s="951" t="s">
        <v>477</v>
      </c>
      <c r="B14" s="951"/>
      <c r="C14" s="951"/>
      <c r="D14" s="484" t="s">
        <v>8</v>
      </c>
      <c r="E14" s="548"/>
      <c r="F14" s="548">
        <f t="shared" ref="F14:M14" si="12">F71*F170*USD_BaseYear/USD_2000</f>
        <v>275.24386901415903</v>
      </c>
      <c r="G14" s="548">
        <f t="shared" si="12"/>
        <v>17.665144880090807</v>
      </c>
      <c r="H14" s="548">
        <f t="shared" si="12"/>
        <v>0</v>
      </c>
      <c r="I14" s="548">
        <f t="shared" si="12"/>
        <v>24.465649278017587</v>
      </c>
      <c r="J14" s="548">
        <f t="shared" si="12"/>
        <v>52.584909912327312</v>
      </c>
      <c r="K14" s="548">
        <f t="shared" si="12"/>
        <v>143.64767776952735</v>
      </c>
      <c r="L14" s="548">
        <f t="shared" si="12"/>
        <v>226.84266126688777</v>
      </c>
      <c r="M14" s="548">
        <f t="shared" si="12"/>
        <v>74.808222170043123</v>
      </c>
      <c r="N14" s="647">
        <f t="shared" si="3"/>
        <v>815.25813429105301</v>
      </c>
      <c r="O14" s="484" t="s">
        <v>8</v>
      </c>
      <c r="P14" s="548"/>
      <c r="Q14" s="548">
        <f t="shared" ref="Q14:X14" si="13">Q71*Q170/3*(1+PbAcid_battery_replacements)*USD_BaseYear/USD_2000</f>
        <v>1.4423439369344822</v>
      </c>
      <c r="R14" s="548">
        <f t="shared" si="13"/>
        <v>7.9767960039393709E-3</v>
      </c>
      <c r="S14" s="548">
        <f t="shared" si="13"/>
        <v>0</v>
      </c>
      <c r="T14" s="548">
        <f t="shared" si="13"/>
        <v>0.15125845582088876</v>
      </c>
      <c r="U14" s="548">
        <f t="shared" si="13"/>
        <v>0.56805128932887106</v>
      </c>
      <c r="V14" s="548">
        <f t="shared" si="13"/>
        <v>1.4056086840702382</v>
      </c>
      <c r="W14" s="548">
        <f t="shared" si="13"/>
        <v>5.6745653536450877</v>
      </c>
      <c r="X14" s="548">
        <f t="shared" si="13"/>
        <v>1.728575455854817E-2</v>
      </c>
      <c r="Y14" s="548">
        <f t="shared" si="5"/>
        <v>9.2670902703620559</v>
      </c>
    </row>
    <row r="15" spans="1:25">
      <c r="A15" s="951"/>
      <c r="B15" s="951"/>
      <c r="C15" s="951"/>
      <c r="D15" s="484" t="s">
        <v>9</v>
      </c>
      <c r="E15" s="548"/>
      <c r="F15" s="548">
        <f t="shared" ref="F15:M15" si="14">F77*F189*USD_BaseYear/USD_2000</f>
        <v>246.88605821558824</v>
      </c>
      <c r="G15" s="548">
        <f t="shared" si="14"/>
        <v>15.503023745386455</v>
      </c>
      <c r="H15" s="548">
        <f t="shared" si="14"/>
        <v>0</v>
      </c>
      <c r="I15" s="548">
        <f t="shared" si="14"/>
        <v>22.358069929240163</v>
      </c>
      <c r="J15" s="548">
        <f t="shared" si="14"/>
        <v>44.841745717426555</v>
      </c>
      <c r="K15" s="548">
        <f t="shared" si="14"/>
        <v>123.79960064169562</v>
      </c>
      <c r="L15" s="548">
        <f t="shared" si="14"/>
        <v>273.79206395706404</v>
      </c>
      <c r="M15" s="548">
        <f t="shared" si="14"/>
        <v>74.295624055024945</v>
      </c>
      <c r="N15" s="647">
        <f t="shared" si="3"/>
        <v>801.47618626142605</v>
      </c>
      <c r="O15" s="484" t="s">
        <v>9</v>
      </c>
      <c r="P15" s="548"/>
      <c r="Q15" s="548">
        <f t="shared" ref="Q15:X15" si="15">Q77*Q189/2*(1+NiMH_battery_replacements)*USD_BaseYear/USD_2000</f>
        <v>15.680530506153763</v>
      </c>
      <c r="R15" s="548">
        <f t="shared" si="15"/>
        <v>0.20492740192664943</v>
      </c>
      <c r="S15" s="548">
        <f t="shared" si="15"/>
        <v>0</v>
      </c>
      <c r="T15" s="548">
        <f t="shared" si="15"/>
        <v>1.0942087070071465</v>
      </c>
      <c r="U15" s="548">
        <f t="shared" si="15"/>
        <v>2.4089682373520263</v>
      </c>
      <c r="V15" s="548">
        <f t="shared" si="15"/>
        <v>5.0047026189950445</v>
      </c>
      <c r="W15" s="548">
        <f t="shared" si="15"/>
        <v>67.055564294834781</v>
      </c>
      <c r="X15" s="548">
        <f t="shared" si="15"/>
        <v>9.3168054769542735E-2</v>
      </c>
      <c r="Y15" s="548">
        <f t="shared" si="5"/>
        <v>91.542069821038965</v>
      </c>
    </row>
    <row r="16" spans="1:25">
      <c r="A16" s="951"/>
      <c r="B16" s="951"/>
      <c r="C16" s="951"/>
      <c r="D16" s="484" t="s">
        <v>10</v>
      </c>
      <c r="E16" s="548"/>
      <c r="F16" s="548">
        <f t="shared" ref="F16:M16" si="16">F89*F208*USD_BaseYear/USD_2000</f>
        <v>250.36697284533901</v>
      </c>
      <c r="G16" s="548">
        <f t="shared" si="16"/>
        <v>15.775382309104273</v>
      </c>
      <c r="H16" s="548">
        <f t="shared" si="16"/>
        <v>0</v>
      </c>
      <c r="I16" s="548">
        <f t="shared" si="16"/>
        <v>22.588943404719469</v>
      </c>
      <c r="J16" s="548">
        <f t="shared" si="16"/>
        <v>45.533270459840622</v>
      </c>
      <c r="K16" s="548">
        <f t="shared" si="16"/>
        <v>125.66642030745552</v>
      </c>
      <c r="L16" s="548">
        <f t="shared" si="16"/>
        <v>277.80430927889182</v>
      </c>
      <c r="M16" s="548">
        <f t="shared" si="16"/>
        <v>74.324414705305372</v>
      </c>
      <c r="N16" s="647">
        <f t="shared" si="3"/>
        <v>812.05971331065598</v>
      </c>
      <c r="O16" s="484" t="s">
        <v>10</v>
      </c>
      <c r="P16" s="548"/>
      <c r="Q16" s="548">
        <f t="shared" ref="Q16:X16" si="17">Q89*Q208*(1+Li_ion_battery_replacements)*USD_BaseYear/USD_2000</f>
        <v>32.988794313360124</v>
      </c>
      <c r="R16" s="548">
        <f t="shared" si="17"/>
        <v>0.10261947846049201</v>
      </c>
      <c r="S16" s="548">
        <f t="shared" si="17"/>
        <v>0</v>
      </c>
      <c r="T16" s="548">
        <f t="shared" si="17"/>
        <v>2.3863396824543344</v>
      </c>
      <c r="U16" s="548">
        <f t="shared" si="17"/>
        <v>5.4729766390357026</v>
      </c>
      <c r="V16" s="548">
        <f t="shared" si="17"/>
        <v>12.119959975456664</v>
      </c>
      <c r="W16" s="548">
        <f t="shared" si="17"/>
        <v>63.351657213611482</v>
      </c>
      <c r="X16" s="548">
        <f t="shared" si="17"/>
        <v>0.18171108509140951</v>
      </c>
      <c r="Y16" s="548">
        <f t="shared" si="5"/>
        <v>116.6040583874702</v>
      </c>
    </row>
    <row r="17" spans="1:31">
      <c r="A17" s="951"/>
      <c r="B17" s="951"/>
      <c r="C17" s="951"/>
      <c r="D17" s="484" t="s">
        <v>11</v>
      </c>
      <c r="E17" s="548"/>
      <c r="F17" s="548">
        <f t="shared" ref="F17:M17" si="18">F95*F208*USD_BaseYear/USD_2000</f>
        <v>250.36697284533901</v>
      </c>
      <c r="G17" s="548">
        <f t="shared" si="18"/>
        <v>15.775382309104273</v>
      </c>
      <c r="H17" s="548">
        <f t="shared" si="18"/>
        <v>0</v>
      </c>
      <c r="I17" s="548">
        <f t="shared" si="18"/>
        <v>22.588943404719469</v>
      </c>
      <c r="J17" s="548">
        <f t="shared" si="18"/>
        <v>45.533270459840622</v>
      </c>
      <c r="K17" s="548">
        <f t="shared" si="18"/>
        <v>125.66642030745552</v>
      </c>
      <c r="L17" s="548">
        <f t="shared" si="18"/>
        <v>277.80430927889182</v>
      </c>
      <c r="M17" s="548">
        <f t="shared" si="18"/>
        <v>74.324414705305372</v>
      </c>
      <c r="N17" s="647">
        <f t="shared" si="3"/>
        <v>812.05971331065598</v>
      </c>
      <c r="O17" s="484" t="s">
        <v>11</v>
      </c>
      <c r="P17" s="548"/>
      <c r="Q17" s="548">
        <f t="shared" ref="Q17:X17" si="19">Q95*Q208*(1+Li_ion_battery_replacements)*USD_BaseYear/USD_2000</f>
        <v>113.14382818678483</v>
      </c>
      <c r="R17" s="548">
        <f t="shared" si="19"/>
        <v>0.35196074549621031</v>
      </c>
      <c r="S17" s="548">
        <f t="shared" si="19"/>
        <v>0</v>
      </c>
      <c r="T17" s="548">
        <f t="shared" si="19"/>
        <v>8.1845854826398643</v>
      </c>
      <c r="U17" s="548">
        <f t="shared" si="19"/>
        <v>18.771026386573919</v>
      </c>
      <c r="V17" s="548">
        <f t="shared" si="19"/>
        <v>41.568620425100406</v>
      </c>
      <c r="W17" s="548">
        <f t="shared" si="19"/>
        <v>217.28132744221088</v>
      </c>
      <c r="X17" s="548">
        <f t="shared" si="19"/>
        <v>0.62322640821372144</v>
      </c>
      <c r="Y17" s="548">
        <f t="shared" si="5"/>
        <v>399.92457507701982</v>
      </c>
    </row>
    <row r="18" spans="1:31">
      <c r="A18" s="951"/>
      <c r="B18" s="951"/>
      <c r="C18" s="951"/>
      <c r="D18" s="546" t="s">
        <v>24</v>
      </c>
      <c r="E18" s="549"/>
      <c r="F18" s="549">
        <f t="shared" ref="F18:M18" si="20">F101*F208*USD_BaseYear/USD_2000</f>
        <v>250.36697284533901</v>
      </c>
      <c r="G18" s="549">
        <f t="shared" si="20"/>
        <v>15.775382309104273</v>
      </c>
      <c r="H18" s="549">
        <f t="shared" si="20"/>
        <v>0</v>
      </c>
      <c r="I18" s="549">
        <f t="shared" si="20"/>
        <v>22.588943404719469</v>
      </c>
      <c r="J18" s="549">
        <f t="shared" si="20"/>
        <v>45.533270459840622</v>
      </c>
      <c r="K18" s="549">
        <f t="shared" si="20"/>
        <v>125.66642030745552</v>
      </c>
      <c r="L18" s="549">
        <f t="shared" si="20"/>
        <v>277.80430927889182</v>
      </c>
      <c r="M18" s="549">
        <f t="shared" si="20"/>
        <v>74.324414705305372</v>
      </c>
      <c r="N18" s="648">
        <f t="shared" si="3"/>
        <v>812.05971331065598</v>
      </c>
      <c r="O18" s="546" t="s">
        <v>24</v>
      </c>
      <c r="P18" s="549"/>
      <c r="Q18" s="549">
        <f t="shared" ref="Q18:X18" si="21">Q101*Q208*(1+Li_ion_battery_replacements)*USD_BaseYear/USD_2000</f>
        <v>469.27128369368285</v>
      </c>
      <c r="R18" s="549">
        <f t="shared" si="21"/>
        <v>1.459779764355573</v>
      </c>
      <c r="S18" s="549">
        <f t="shared" si="21"/>
        <v>0</v>
      </c>
      <c r="T18" s="549">
        <f t="shared" si="21"/>
        <v>33.946093193863611</v>
      </c>
      <c r="U18" s="549">
        <f t="shared" si="21"/>
        <v>77.85403578649985</v>
      </c>
      <c r="V18" s="549">
        <f t="shared" si="21"/>
        <v>172.40851914661232</v>
      </c>
      <c r="W18" s="549">
        <f t="shared" si="21"/>
        <v>901.18824053880746</v>
      </c>
      <c r="X18" s="549">
        <f t="shared" si="21"/>
        <v>2.584871497643173</v>
      </c>
      <c r="Y18" s="549">
        <f t="shared" si="5"/>
        <v>1658.7128236214648</v>
      </c>
    </row>
    <row r="19" spans="1:31">
      <c r="A19" s="951"/>
      <c r="B19" s="951"/>
      <c r="C19" s="951"/>
      <c r="D19" s="550"/>
      <c r="E19" s="551"/>
      <c r="F19" s="551" t="s">
        <v>241</v>
      </c>
      <c r="G19" s="551" t="s">
        <v>241</v>
      </c>
      <c r="H19" s="551" t="s">
        <v>241</v>
      </c>
      <c r="I19" s="551" t="s">
        <v>241</v>
      </c>
      <c r="J19" s="551" t="s">
        <v>241</v>
      </c>
      <c r="K19" s="551" t="s">
        <v>241</v>
      </c>
      <c r="L19" s="551" t="s">
        <v>241</v>
      </c>
      <c r="M19" s="551" t="s">
        <v>241</v>
      </c>
      <c r="N19" s="551" t="s">
        <v>241</v>
      </c>
      <c r="O19" s="550"/>
      <c r="P19" s="551"/>
      <c r="Q19" s="551" t="s">
        <v>241</v>
      </c>
      <c r="R19" s="551" t="s">
        <v>241</v>
      </c>
      <c r="S19" s="551" t="s">
        <v>241</v>
      </c>
      <c r="T19" s="551" t="s">
        <v>241</v>
      </c>
      <c r="U19" s="551" t="s">
        <v>241</v>
      </c>
      <c r="V19" s="551" t="s">
        <v>241</v>
      </c>
      <c r="W19" s="551" t="s">
        <v>241</v>
      </c>
      <c r="X19" s="551" t="s">
        <v>241</v>
      </c>
      <c r="Y19" s="551" t="s">
        <v>241</v>
      </c>
      <c r="AA19" s="170" t="s">
        <v>664</v>
      </c>
    </row>
    <row r="20" spans="1:31" s="201" customFormat="1" ht="15" customHeight="1">
      <c r="A20" s="952" t="s">
        <v>663</v>
      </c>
      <c r="B20" s="952"/>
      <c r="C20" s="952"/>
      <c r="D20" s="484" t="s">
        <v>8</v>
      </c>
      <c r="E20" s="485"/>
      <c r="F20" s="485">
        <f t="shared" ref="F20:M20" si="22">F8+F14</f>
        <v>315.74998602918447</v>
      </c>
      <c r="G20" s="485">
        <f t="shared" si="22"/>
        <v>17.82730736054982</v>
      </c>
      <c r="H20" s="485">
        <f t="shared" si="22"/>
        <v>0</v>
      </c>
      <c r="I20" s="485">
        <f t="shared" si="22"/>
        <v>29.876306949910955</v>
      </c>
      <c r="J20" s="485">
        <f t="shared" si="22"/>
        <v>59.782245499168752</v>
      </c>
      <c r="K20" s="485">
        <f t="shared" si="22"/>
        <v>161.5457188050606</v>
      </c>
      <c r="L20" s="485">
        <f t="shared" si="22"/>
        <v>264.34696665071482</v>
      </c>
      <c r="M20" s="485">
        <f t="shared" si="22"/>
        <v>79.169030366360815</v>
      </c>
      <c r="N20" s="627">
        <f t="shared" si="3"/>
        <v>928.29756166095035</v>
      </c>
      <c r="O20" s="484" t="s">
        <v>8</v>
      </c>
      <c r="P20" s="485"/>
      <c r="Q20" s="485">
        <f>SUM(Q8+Q14) / 3 * $AA20</f>
        <v>11.818650495106972</v>
      </c>
      <c r="R20" s="485">
        <f t="shared" ref="R20:X20" si="23">SUM(R8+R14) / 3 * $AA20</f>
        <v>3.5529185212048744E-2</v>
      </c>
      <c r="S20" s="485">
        <f t="shared" si="23"/>
        <v>0</v>
      </c>
      <c r="T20" s="485">
        <f t="shared" si="23"/>
        <v>0.81004533559386183</v>
      </c>
      <c r="U20" s="485">
        <f t="shared" si="23"/>
        <v>1.9833282269478389</v>
      </c>
      <c r="V20" s="485">
        <f t="shared" si="23"/>
        <v>3.8104855966174993</v>
      </c>
      <c r="W20" s="485">
        <f t="shared" si="23"/>
        <v>11.859137997166494</v>
      </c>
      <c r="X20" s="485">
        <f t="shared" si="23"/>
        <v>6.637951150916388E-2</v>
      </c>
      <c r="Y20" s="485">
        <f t="shared" ref="Y20" si="24">SUM(Y8+Y14) / 3 * $AA20</f>
        <v>30.383556348153874</v>
      </c>
      <c r="AA20" s="816">
        <f>1 + PV((1+Externality_oil_premium_rate)^(Vehicle_life/3)-1,2,-1)</f>
        <v>2.2752987372984288</v>
      </c>
      <c r="AE20" s="815"/>
    </row>
    <row r="21" spans="1:31" s="201" customFormat="1">
      <c r="A21" s="952"/>
      <c r="B21" s="952"/>
      <c r="C21" s="952"/>
      <c r="D21" s="484" t="s">
        <v>9</v>
      </c>
      <c r="E21" s="485"/>
      <c r="F21" s="485">
        <f>F9+F15</f>
        <v>287.3921752306137</v>
      </c>
      <c r="G21" s="485">
        <f t="shared" ref="F21:M24" si="25">G9+G15</f>
        <v>15.665186225845471</v>
      </c>
      <c r="H21" s="485">
        <f t="shared" si="25"/>
        <v>0</v>
      </c>
      <c r="I21" s="485">
        <f t="shared" si="25"/>
        <v>27.768727601133531</v>
      </c>
      <c r="J21" s="485">
        <f t="shared" si="25"/>
        <v>52.039081304267995</v>
      </c>
      <c r="K21" s="485">
        <f t="shared" si="25"/>
        <v>141.69764167722886</v>
      </c>
      <c r="L21" s="485">
        <f t="shared" si="25"/>
        <v>311.29636934089109</v>
      </c>
      <c r="M21" s="485">
        <f t="shared" si="25"/>
        <v>78.656432251342636</v>
      </c>
      <c r="N21" s="627">
        <f t="shared" si="3"/>
        <v>914.51561363132316</v>
      </c>
      <c r="O21" s="484" t="s">
        <v>9</v>
      </c>
      <c r="P21" s="485"/>
      <c r="Q21" s="485">
        <f t="shared" ref="Q21:Y21" si="26">SUM(Q9+Q15) / (1+NiMH_battery_replacements) * $AA21</f>
        <v>29.841685170651537</v>
      </c>
      <c r="R21" s="485">
        <f t="shared" si="26"/>
        <v>0.24385250701366709</v>
      </c>
      <c r="S21" s="485">
        <f t="shared" si="26"/>
        <v>0</v>
      </c>
      <c r="T21" s="485">
        <f t="shared" si="26"/>
        <v>2.0123314763674829</v>
      </c>
      <c r="U21" s="485">
        <f t="shared" si="26"/>
        <v>4.4589206236553611</v>
      </c>
      <c r="V21" s="485">
        <f t="shared" si="26"/>
        <v>8.6284991307408578</v>
      </c>
      <c r="W21" s="485">
        <f t="shared" si="26"/>
        <v>77.031819172808028</v>
      </c>
      <c r="X21" s="485">
        <f t="shared" si="26"/>
        <v>0.16350610791194747</v>
      </c>
      <c r="Y21" s="485">
        <f t="shared" si="26"/>
        <v>122.38061418914889</v>
      </c>
      <c r="AA21" s="814">
        <f>1 + PV((1+Externality_oil_premium_rate)^NiMH_Battery_Life__years-1,NiMH_battery_replacements,-1)</f>
        <v>1</v>
      </c>
    </row>
    <row r="22" spans="1:31" s="201" customFormat="1">
      <c r="A22" s="952"/>
      <c r="B22" s="952"/>
      <c r="C22" s="952"/>
      <c r="D22" s="484" t="s">
        <v>10</v>
      </c>
      <c r="E22" s="485"/>
      <c r="F22" s="485">
        <f t="shared" si="25"/>
        <v>290.87308986036447</v>
      </c>
      <c r="G22" s="485">
        <f t="shared" si="25"/>
        <v>15.937544789563287</v>
      </c>
      <c r="H22" s="485">
        <f t="shared" si="25"/>
        <v>0</v>
      </c>
      <c r="I22" s="485">
        <f t="shared" si="25"/>
        <v>27.999601076612837</v>
      </c>
      <c r="J22" s="485">
        <f t="shared" si="25"/>
        <v>52.730606046682063</v>
      </c>
      <c r="K22" s="485">
        <f t="shared" si="25"/>
        <v>143.56446134298878</v>
      </c>
      <c r="L22" s="485">
        <f t="shared" si="25"/>
        <v>315.30861466271887</v>
      </c>
      <c r="M22" s="485">
        <f t="shared" si="25"/>
        <v>78.685222901623064</v>
      </c>
      <c r="N22" s="627">
        <f t="shared" si="3"/>
        <v>925.09914068055332</v>
      </c>
      <c r="O22" s="484" t="s">
        <v>10</v>
      </c>
      <c r="P22" s="485"/>
      <c r="Q22" s="485">
        <f t="shared" ref="Q22:Y22" si="27">SUM(Q10+Q16) / (1+Li_ion_battery_replacements) * $AA22</f>
        <v>44.01433256072476</v>
      </c>
      <c r="R22" s="485">
        <f t="shared" si="27"/>
        <v>0.1329256395813459</v>
      </c>
      <c r="S22" s="485">
        <f t="shared" si="27"/>
        <v>0</v>
      </c>
      <c r="T22" s="485">
        <f t="shared" si="27"/>
        <v>3.1011682362824153</v>
      </c>
      <c r="U22" s="485">
        <f t="shared" si="27"/>
        <v>7.0690208159365415</v>
      </c>
      <c r="V22" s="485">
        <f t="shared" si="27"/>
        <v>14.941361759951404</v>
      </c>
      <c r="W22" s="485">
        <f t="shared" si="27"/>
        <v>71.118932010652401</v>
      </c>
      <c r="X22" s="485">
        <f t="shared" si="27"/>
        <v>0.23647462051913681</v>
      </c>
      <c r="Y22" s="485">
        <f t="shared" si="27"/>
        <v>140.61421564364801</v>
      </c>
      <c r="AA22" s="814">
        <f>1 + PV((1+Externality_oil_premium_rate)^Battery_life__years-1,Li_ion_battery_replacements,-1)</f>
        <v>1</v>
      </c>
    </row>
    <row r="23" spans="1:31" s="201" customFormat="1">
      <c r="A23" s="952"/>
      <c r="B23" s="952"/>
      <c r="C23" s="952"/>
      <c r="D23" s="484" t="s">
        <v>11</v>
      </c>
      <c r="E23" s="485"/>
      <c r="F23" s="485">
        <f t="shared" si="25"/>
        <v>290.87308986036447</v>
      </c>
      <c r="G23" s="485">
        <f t="shared" si="25"/>
        <v>15.937544789563287</v>
      </c>
      <c r="H23" s="485">
        <f t="shared" si="25"/>
        <v>0</v>
      </c>
      <c r="I23" s="485">
        <f t="shared" si="25"/>
        <v>27.999601076612837</v>
      </c>
      <c r="J23" s="485">
        <f t="shared" si="25"/>
        <v>52.730606046682063</v>
      </c>
      <c r="K23" s="485">
        <f t="shared" si="25"/>
        <v>143.56446134298878</v>
      </c>
      <c r="L23" s="485">
        <f t="shared" si="25"/>
        <v>315.30861466271887</v>
      </c>
      <c r="M23" s="485">
        <f t="shared" si="25"/>
        <v>78.685222901623064</v>
      </c>
      <c r="N23" s="627">
        <f t="shared" si="3"/>
        <v>925.09914068055332</v>
      </c>
      <c r="O23" s="484" t="s">
        <v>11</v>
      </c>
      <c r="P23" s="485"/>
      <c r="Q23" s="485">
        <f t="shared" ref="Q23:Y23" si="28">SUM(Q11+Q17) / (1+Li_ion_battery_replacements) * $AA23</f>
        <v>150.95883874088184</v>
      </c>
      <c r="R23" s="485">
        <f t="shared" si="28"/>
        <v>0.45590377094561929</v>
      </c>
      <c r="S23" s="485">
        <f t="shared" si="28"/>
        <v>0</v>
      </c>
      <c r="T23" s="485">
        <f t="shared" si="28"/>
        <v>10.636279785531599</v>
      </c>
      <c r="U23" s="485">
        <f t="shared" si="28"/>
        <v>24.245083619900957</v>
      </c>
      <c r="V23" s="485">
        <f t="shared" si="28"/>
        <v>51.245366889928867</v>
      </c>
      <c r="W23" s="485">
        <f t="shared" si="28"/>
        <v>243.92125846751753</v>
      </c>
      <c r="X23" s="485">
        <f t="shared" si="28"/>
        <v>0.81105249195835527</v>
      </c>
      <c r="Y23" s="485">
        <f t="shared" si="28"/>
        <v>482.27378376666479</v>
      </c>
      <c r="AA23" s="814">
        <f>1 + PV((1+Externality_oil_premium_rate)^Battery_life__years-1,Li_ion_battery_replacements,-1)</f>
        <v>1</v>
      </c>
    </row>
    <row r="24" spans="1:31" s="201" customFormat="1">
      <c r="A24" s="952"/>
      <c r="B24" s="952"/>
      <c r="C24" s="952"/>
      <c r="D24" s="484" t="s">
        <v>24</v>
      </c>
      <c r="E24" s="485"/>
      <c r="F24" s="485">
        <f t="shared" si="25"/>
        <v>290.87308986036447</v>
      </c>
      <c r="G24" s="485">
        <f t="shared" si="25"/>
        <v>15.937544789563287</v>
      </c>
      <c r="H24" s="485">
        <f t="shared" si="25"/>
        <v>0</v>
      </c>
      <c r="I24" s="485">
        <f t="shared" si="25"/>
        <v>27.999601076612837</v>
      </c>
      <c r="J24" s="485">
        <f t="shared" si="25"/>
        <v>52.730606046682063</v>
      </c>
      <c r="K24" s="485">
        <f t="shared" si="25"/>
        <v>143.56446134298878</v>
      </c>
      <c r="L24" s="485">
        <f t="shared" si="25"/>
        <v>315.30861466271887</v>
      </c>
      <c r="M24" s="485">
        <f t="shared" si="25"/>
        <v>78.685222901623064</v>
      </c>
      <c r="N24" s="627">
        <f t="shared" si="3"/>
        <v>925.09914068055332</v>
      </c>
      <c r="O24" s="484" t="s">
        <v>24</v>
      </c>
      <c r="P24" s="485"/>
      <c r="Q24" s="485">
        <f t="shared" ref="Q24:Y24" si="29">SUM(Q12+Q18) / (1+Li_ion_battery_replacements) * $AA24</f>
        <v>531.55467766600873</v>
      </c>
      <c r="R24" s="485">
        <f t="shared" si="29"/>
        <v>1.8908901286179916</v>
      </c>
      <c r="S24" s="485">
        <f t="shared" si="29"/>
        <v>0</v>
      </c>
      <c r="T24" s="485">
        <f t="shared" si="29"/>
        <v>44.114652550394844</v>
      </c>
      <c r="U24" s="485">
        <f t="shared" si="29"/>
        <v>100.55803923117122</v>
      </c>
      <c r="V24" s="485">
        <f t="shared" si="29"/>
        <v>212.54344571133632</v>
      </c>
      <c r="W24" s="485">
        <f t="shared" si="29"/>
        <v>1011.6790629734064</v>
      </c>
      <c r="X24" s="485">
        <f t="shared" si="29"/>
        <v>3.3638922258838004</v>
      </c>
      <c r="Y24" s="485">
        <f t="shared" si="29"/>
        <v>1905.7046604868194</v>
      </c>
      <c r="AA24" s="814">
        <f>1 + PV((1+Externality_oil_premium_rate)^Battery_life__years-1,Li_ion_battery_replacements,-1)</f>
        <v>1</v>
      </c>
    </row>
    <row r="25" spans="1:31">
      <c r="A25" s="952"/>
      <c r="B25" s="952"/>
      <c r="C25" s="952"/>
      <c r="D25" s="550"/>
      <c r="E25" s="551"/>
      <c r="F25" s="551" t="s">
        <v>241</v>
      </c>
      <c r="G25" s="551" t="s">
        <v>241</v>
      </c>
      <c r="H25" s="551" t="s">
        <v>241</v>
      </c>
      <c r="I25" s="551" t="s">
        <v>241</v>
      </c>
      <c r="J25" s="551" t="s">
        <v>241</v>
      </c>
      <c r="K25" s="551" t="s">
        <v>241</v>
      </c>
      <c r="L25" s="551" t="s">
        <v>241</v>
      </c>
      <c r="M25" s="551" t="s">
        <v>241</v>
      </c>
      <c r="N25" s="551" t="s">
        <v>241</v>
      </c>
      <c r="O25" s="550"/>
      <c r="P25" s="551"/>
      <c r="Q25" s="551" t="s">
        <v>241</v>
      </c>
      <c r="R25" s="551" t="s">
        <v>241</v>
      </c>
      <c r="S25" s="551" t="s">
        <v>241</v>
      </c>
      <c r="T25" s="551" t="s">
        <v>241</v>
      </c>
      <c r="U25" s="551" t="s">
        <v>241</v>
      </c>
      <c r="V25" s="551" t="s">
        <v>241</v>
      </c>
      <c r="W25" s="551" t="s">
        <v>241</v>
      </c>
      <c r="X25" s="551" t="s">
        <v>241</v>
      </c>
      <c r="Y25" s="551" t="s">
        <v>241</v>
      </c>
    </row>
    <row r="26" spans="1:31">
      <c r="A26" s="474"/>
      <c r="B26" s="641"/>
      <c r="C26" s="633"/>
      <c r="D26" s="474"/>
      <c r="E26" s="474"/>
      <c r="F26" s="474"/>
      <c r="G26" s="474"/>
      <c r="H26" s="474"/>
      <c r="I26" s="474"/>
      <c r="J26" s="474"/>
      <c r="K26" s="474"/>
      <c r="L26" s="474"/>
      <c r="M26" s="474"/>
      <c r="N26" s="489"/>
      <c r="O26" s="474"/>
      <c r="P26" s="474"/>
      <c r="Q26" s="474"/>
      <c r="R26" s="474"/>
      <c r="S26" s="474"/>
      <c r="T26" s="474"/>
      <c r="U26" s="474"/>
      <c r="V26" s="474"/>
      <c r="W26" s="474"/>
      <c r="X26" s="474"/>
    </row>
    <row r="27" spans="1:31">
      <c r="C27" s="631"/>
      <c r="E27" s="489"/>
      <c r="F27" s="489"/>
      <c r="G27" s="489"/>
      <c r="H27" s="489"/>
      <c r="I27" s="651"/>
      <c r="J27" s="651"/>
      <c r="K27" s="651"/>
      <c r="L27" s="651"/>
      <c r="M27" s="651"/>
      <c r="N27" s="489"/>
      <c r="P27" s="490"/>
      <c r="Q27" s="490"/>
      <c r="R27" s="490"/>
      <c r="S27" s="490"/>
      <c r="T27" s="490"/>
      <c r="U27" s="490"/>
      <c r="V27" s="490"/>
      <c r="W27" s="490"/>
      <c r="X27" s="490"/>
    </row>
    <row r="28" spans="1:31">
      <c r="A28" s="950" t="s">
        <v>455</v>
      </c>
      <c r="B28" s="642"/>
      <c r="C28" s="635"/>
      <c r="D28" s="491" t="s">
        <v>526</v>
      </c>
      <c r="E28" s="489"/>
      <c r="F28" s="489"/>
      <c r="G28" s="489"/>
      <c r="H28" s="489"/>
      <c r="I28" s="489"/>
      <c r="J28" s="489"/>
      <c r="K28" s="489"/>
      <c r="L28" s="489"/>
      <c r="M28" s="489"/>
      <c r="N28" s="489"/>
      <c r="O28" s="491" t="s">
        <v>540</v>
      </c>
      <c r="P28" s="490"/>
      <c r="Q28" s="490"/>
      <c r="R28" s="490"/>
      <c r="S28" s="490"/>
      <c r="T28" s="490"/>
      <c r="U28" s="490"/>
      <c r="V28" s="490"/>
      <c r="W28" s="490"/>
      <c r="X28" s="490"/>
    </row>
    <row r="29" spans="1:31" ht="15.75" thickBot="1">
      <c r="A29" s="950"/>
      <c r="B29" s="642"/>
      <c r="C29" s="649"/>
      <c r="D29" s="414"/>
      <c r="E29" s="414" t="s">
        <v>1</v>
      </c>
      <c r="F29" s="414" t="s">
        <v>15</v>
      </c>
      <c r="G29" s="476" t="s">
        <v>2</v>
      </c>
      <c r="H29" s="476" t="s">
        <v>43</v>
      </c>
      <c r="I29" s="476" t="s">
        <v>25</v>
      </c>
      <c r="J29" s="476" t="s">
        <v>26</v>
      </c>
      <c r="K29" s="476" t="s">
        <v>27</v>
      </c>
      <c r="L29" s="476" t="s">
        <v>39</v>
      </c>
      <c r="M29" s="476" t="s">
        <v>3</v>
      </c>
      <c r="N29" s="552"/>
      <c r="O29" s="414"/>
      <c r="P29" s="479" t="s">
        <v>1</v>
      </c>
      <c r="Q29" s="479" t="s">
        <v>15</v>
      </c>
      <c r="R29" s="480" t="s">
        <v>2</v>
      </c>
      <c r="S29" s="480" t="s">
        <v>43</v>
      </c>
      <c r="T29" s="480" t="s">
        <v>25</v>
      </c>
      <c r="U29" s="480" t="s">
        <v>26</v>
      </c>
      <c r="V29" s="480" t="s">
        <v>27</v>
      </c>
      <c r="W29" s="480" t="s">
        <v>39</v>
      </c>
      <c r="X29" s="480" t="s">
        <v>3</v>
      </c>
    </row>
    <row r="30" spans="1:31" ht="15.75" thickTop="1">
      <c r="A30" s="950"/>
      <c r="B30" s="642"/>
      <c r="C30" s="443" t="s">
        <v>532</v>
      </c>
      <c r="E30" s="477"/>
      <c r="F30" s="477">
        <v>0.97063136966466734</v>
      </c>
      <c r="G30" s="477">
        <v>3.6235867918390363E-4</v>
      </c>
      <c r="H30" s="477"/>
      <c r="I30" s="477">
        <v>2.0997514145309807E-3</v>
      </c>
      <c r="J30" s="477">
        <v>1.5109432080956571E-3</v>
      </c>
      <c r="K30" s="477">
        <v>5.5990378308006016E-4</v>
      </c>
      <c r="L30" s="477">
        <v>2.9449611240703506E-3</v>
      </c>
      <c r="M30" s="477">
        <v>1.8167657821730355E-3</v>
      </c>
      <c r="N30" s="477"/>
      <c r="O30" s="443"/>
      <c r="P30" s="477"/>
      <c r="Q30" s="477">
        <v>0.33884640430648466</v>
      </c>
      <c r="R30" s="477">
        <v>8.6853752777542859E-5</v>
      </c>
      <c r="S30" s="477"/>
      <c r="T30" s="477">
        <v>3.5578619138643651E-4</v>
      </c>
      <c r="U30" s="477">
        <v>4.2972504643858919E-4</v>
      </c>
      <c r="V30" s="477">
        <v>1.1319890094767663E-4</v>
      </c>
      <c r="W30" s="477">
        <v>7.8223362623810599E-4</v>
      </c>
      <c r="X30" s="477">
        <v>2.9261245310910138E-5</v>
      </c>
    </row>
    <row r="31" spans="1:31">
      <c r="A31" s="950"/>
      <c r="B31" s="642"/>
      <c r="C31" s="443" t="s">
        <v>524</v>
      </c>
      <c r="E31" s="477"/>
      <c r="F31" s="477">
        <v>0.5212808960438603</v>
      </c>
      <c r="G31" s="477">
        <v>2.4870376879305181E-4</v>
      </c>
      <c r="H31" s="477"/>
      <c r="I31" s="477">
        <v>1.634180301800629E-3</v>
      </c>
      <c r="J31" s="477">
        <v>9.4863264404861244E-4</v>
      </c>
      <c r="K31" s="477">
        <v>4.6352510076123958E-4</v>
      </c>
      <c r="L31" s="477">
        <v>1.9217564591311924E-3</v>
      </c>
      <c r="M31" s="477">
        <v>1.7784898667403521E-3</v>
      </c>
      <c r="N31" s="477"/>
      <c r="O31" s="443"/>
      <c r="P31" s="477"/>
      <c r="Q31" s="477">
        <v>0</v>
      </c>
      <c r="R31" s="477">
        <v>0</v>
      </c>
      <c r="S31" s="477"/>
      <c r="T31" s="477">
        <v>0</v>
      </c>
      <c r="U31" s="477">
        <v>0</v>
      </c>
      <c r="V31" s="477">
        <v>0</v>
      </c>
      <c r="W31" s="477">
        <v>0</v>
      </c>
      <c r="X31" s="477">
        <v>0</v>
      </c>
    </row>
    <row r="32" spans="1:31">
      <c r="A32" s="950"/>
      <c r="B32" s="642"/>
      <c r="C32" s="443" t="s">
        <v>525</v>
      </c>
      <c r="E32" s="477"/>
      <c r="F32" s="477">
        <v>1.2331394557365891</v>
      </c>
      <c r="G32" s="477">
        <v>3.8397816483739974E-4</v>
      </c>
      <c r="H32" s="477"/>
      <c r="I32" s="477">
        <v>2.351176682597642E-3</v>
      </c>
      <c r="J32" s="477">
        <v>2.0466456813990098E-3</v>
      </c>
      <c r="K32" s="477">
        <v>6.4541119245637335E-4</v>
      </c>
      <c r="L32" s="477">
        <v>3.7123706450290519E-3</v>
      </c>
      <c r="M32" s="477">
        <v>1.8320444961553268E-3</v>
      </c>
      <c r="N32" s="477"/>
      <c r="O32" s="443"/>
      <c r="P32" s="477"/>
      <c r="Q32" s="477">
        <v>0.53820463115173067</v>
      </c>
      <c r="R32" s="477">
        <v>1.0337478734674459E-4</v>
      </c>
      <c r="S32" s="477"/>
      <c r="T32" s="477">
        <v>5.4792582603274827E-4</v>
      </c>
      <c r="U32" s="477">
        <v>8.391158090973993E-4</v>
      </c>
      <c r="V32" s="477">
        <v>2.1756925225532582E-4</v>
      </c>
      <c r="W32" s="477">
        <v>1.368913319409611E-3</v>
      </c>
      <c r="X32" s="477">
        <v>4.0941585443632937E-5</v>
      </c>
    </row>
    <row r="33" spans="1:24">
      <c r="A33" s="950"/>
      <c r="B33" s="642"/>
      <c r="C33" s="485" t="str">
        <f>SUMMARY!$B$15</f>
        <v>US Avg Elec</v>
      </c>
      <c r="D33" s="629"/>
      <c r="E33" s="629"/>
      <c r="F33" s="629">
        <f t="array" ref="F33">SUM(IF($C33=$C30:$C32,F30:F32))</f>
        <v>0.97063136966466734</v>
      </c>
      <c r="G33" s="629">
        <f t="array" ref="G33">SUM(IF($C33=$C30:$C32,G30:G32))</f>
        <v>3.6235867918390363E-4</v>
      </c>
      <c r="H33" s="629"/>
      <c r="I33" s="629">
        <f t="array" ref="I33">SUM(IF($C33=$C30:$C32,I30:I32))</f>
        <v>2.0997514145309807E-3</v>
      </c>
      <c r="J33" s="629">
        <f t="array" ref="J33">SUM(IF($C33=$C30:$C32,J30:J32))</f>
        <v>1.5109432080956571E-3</v>
      </c>
      <c r="K33" s="629">
        <f t="array" ref="K33">SUM(IF($C33=$C30:$C32,K30:K32))</f>
        <v>5.5990378308006016E-4</v>
      </c>
      <c r="L33" s="629">
        <f t="array" ref="L33">SUM(IF($C33=$C30:$C32,L30:L32))</f>
        <v>2.9449611240703506E-3</v>
      </c>
      <c r="M33" s="629">
        <f t="array" ref="M33">SUM(IF($C33=$C30:$C32,M30:M32))</f>
        <v>1.8167657821730355E-3</v>
      </c>
      <c r="N33" s="477"/>
      <c r="O33" s="485"/>
      <c r="P33" s="629"/>
      <c r="Q33" s="629">
        <f t="array" ref="Q33">SUM(IF($C33=$C30:$C32,Q30:Q32))</f>
        <v>0.33884640430648466</v>
      </c>
      <c r="R33" s="629">
        <f t="array" ref="R33">SUM(IF($C33=$C30:$C32,R30:R32))</f>
        <v>8.6853752777542859E-5</v>
      </c>
      <c r="S33" s="629"/>
      <c r="T33" s="629">
        <f t="array" ref="T33">SUM(IF($C33=$C30:$C32,T30:T32))</f>
        <v>3.5578619138643651E-4</v>
      </c>
      <c r="U33" s="629">
        <f t="array" ref="U33">SUM(IF($C33=$C30:$C32,U30:U32))</f>
        <v>4.2972504643858919E-4</v>
      </c>
      <c r="V33" s="629">
        <f t="array" ref="V33">SUM(IF($C33=$C30:$C32,V30:V32))</f>
        <v>1.1319890094767663E-4</v>
      </c>
      <c r="W33" s="629">
        <f t="array" ref="W33">SUM(IF($C33=$C30:$C32,W30:W32))</f>
        <v>7.8223362623810599E-4</v>
      </c>
      <c r="X33" s="629">
        <f t="array" ref="X33">SUM(IF($C33=$C30:$C32,X30:X32))</f>
        <v>2.9261245310910138E-5</v>
      </c>
    </row>
    <row r="34" spans="1:24">
      <c r="A34" s="950"/>
      <c r="B34" s="642"/>
      <c r="C34" s="635"/>
      <c r="D34" s="443"/>
      <c r="E34" s="477"/>
      <c r="F34" s="477"/>
      <c r="G34" s="477"/>
      <c r="H34" s="477"/>
      <c r="I34" s="477"/>
      <c r="J34" s="477"/>
      <c r="K34" s="477"/>
      <c r="L34" s="477"/>
      <c r="M34" s="477"/>
      <c r="N34" s="477"/>
      <c r="O34" s="443"/>
      <c r="P34" s="477"/>
      <c r="Q34" s="477"/>
      <c r="R34" s="477"/>
      <c r="S34" s="477"/>
      <c r="T34" s="477"/>
      <c r="U34" s="477"/>
      <c r="V34" s="477"/>
      <c r="W34" s="477"/>
      <c r="X34" s="477"/>
    </row>
    <row r="35" spans="1:24">
      <c r="A35" s="950"/>
      <c r="B35" s="642"/>
      <c r="C35" s="635"/>
      <c r="D35" s="491" t="s">
        <v>528</v>
      </c>
      <c r="E35" s="477"/>
      <c r="F35" s="477"/>
      <c r="G35" s="477"/>
      <c r="H35" s="477"/>
      <c r="I35" s="477"/>
      <c r="J35" s="477"/>
      <c r="K35" s="477"/>
      <c r="L35" s="477"/>
      <c r="M35" s="477"/>
      <c r="N35" s="477"/>
      <c r="O35" s="491" t="s">
        <v>539</v>
      </c>
      <c r="P35" s="477"/>
      <c r="Q35" s="477"/>
      <c r="R35" s="477"/>
      <c r="S35" s="477"/>
      <c r="T35" s="477"/>
      <c r="U35" s="477"/>
      <c r="V35" s="477"/>
      <c r="W35" s="477"/>
      <c r="X35" s="477"/>
    </row>
    <row r="36" spans="1:24">
      <c r="A36" s="950"/>
      <c r="B36" s="642"/>
      <c r="C36" s="443" t="str">
        <f>C30</f>
        <v>US Avg Elec</v>
      </c>
      <c r="E36" s="477"/>
      <c r="F36" s="477">
        <v>0.97063136966466734</v>
      </c>
      <c r="G36" s="477">
        <v>3.6235867918390363E-4</v>
      </c>
      <c r="H36" s="477"/>
      <c r="I36" s="477">
        <v>2.0997514145309807E-3</v>
      </c>
      <c r="J36" s="477">
        <v>1.5109432080956571E-3</v>
      </c>
      <c r="K36" s="477">
        <v>5.5990378308006016E-4</v>
      </c>
      <c r="L36" s="477">
        <v>2.9449611240703506E-3</v>
      </c>
      <c r="M36" s="477">
        <v>1.8167657821730355E-3</v>
      </c>
      <c r="N36" s="477"/>
      <c r="O36" s="443"/>
      <c r="P36" s="477"/>
      <c r="Q36" s="477">
        <v>0.67867581298577495</v>
      </c>
      <c r="R36" s="477">
        <v>1.7395947109962096E-4</v>
      </c>
      <c r="S36" s="477"/>
      <c r="T36" s="477">
        <v>7.1260453001561108E-4</v>
      </c>
      <c r="U36" s="477">
        <v>8.6069673912864955E-4</v>
      </c>
      <c r="V36" s="477">
        <v>2.267261955663916E-4</v>
      </c>
      <c r="W36" s="477">
        <v>1.566736537513252E-3</v>
      </c>
      <c r="X36" s="477">
        <v>5.8607378440397641E-5</v>
      </c>
    </row>
    <row r="37" spans="1:24">
      <c r="A37" s="950"/>
      <c r="B37" s="642"/>
      <c r="C37" s="443" t="str">
        <f>C31</f>
        <v>5% Elec Source</v>
      </c>
      <c r="E37" s="477"/>
      <c r="F37" s="477">
        <v>0.5212808960438603</v>
      </c>
      <c r="G37" s="477">
        <v>2.4870376879305181E-4</v>
      </c>
      <c r="H37" s="477"/>
      <c r="I37" s="477">
        <v>1.634180301800629E-3</v>
      </c>
      <c r="J37" s="477">
        <v>9.4863264404861244E-4</v>
      </c>
      <c r="K37" s="477">
        <v>4.6352510076123958E-4</v>
      </c>
      <c r="L37" s="477">
        <v>1.9217564591311924E-3</v>
      </c>
      <c r="M37" s="477">
        <v>1.7784898667403521E-3</v>
      </c>
      <c r="N37" s="477"/>
      <c r="O37" s="443"/>
      <c r="P37" s="477"/>
      <c r="Q37" s="477">
        <v>0</v>
      </c>
      <c r="R37" s="477">
        <v>0</v>
      </c>
      <c r="S37" s="477"/>
      <c r="T37" s="477">
        <v>0</v>
      </c>
      <c r="U37" s="477">
        <v>0</v>
      </c>
      <c r="V37" s="477">
        <v>0</v>
      </c>
      <c r="W37" s="477">
        <v>0</v>
      </c>
      <c r="X37" s="477">
        <v>0</v>
      </c>
    </row>
    <row r="38" spans="1:24">
      <c r="A38" s="950"/>
      <c r="B38" s="642"/>
      <c r="C38" s="443" t="str">
        <f>C32</f>
        <v>95% Elec Source</v>
      </c>
      <c r="E38" s="477"/>
      <c r="F38" s="477">
        <v>1.2331394557365891</v>
      </c>
      <c r="G38" s="477">
        <v>3.8397816483739974E-4</v>
      </c>
      <c r="H38" s="477"/>
      <c r="I38" s="477">
        <v>2.351176682597642E-3</v>
      </c>
      <c r="J38" s="477">
        <v>2.0466456813990098E-3</v>
      </c>
      <c r="K38" s="477">
        <v>6.4541119245637335E-4</v>
      </c>
      <c r="L38" s="477">
        <v>3.7123706450290519E-3</v>
      </c>
      <c r="M38" s="477">
        <v>1.8320444961553268E-3</v>
      </c>
      <c r="N38" s="477"/>
      <c r="O38" s="443"/>
      <c r="P38" s="477"/>
      <c r="Q38" s="477">
        <v>1.0779706113370129</v>
      </c>
      <c r="R38" s="477">
        <v>2.0704946829338636E-4</v>
      </c>
      <c r="S38" s="477"/>
      <c r="T38" s="477">
        <v>1.097441202599656E-3</v>
      </c>
      <c r="U38" s="477">
        <v>1.6806659202831483E-3</v>
      </c>
      <c r="V38" s="477">
        <v>4.3576967994482144E-4</v>
      </c>
      <c r="W38" s="477">
        <v>2.7417979006117898E-3</v>
      </c>
      <c r="X38" s="477">
        <v>8.2001943750159472E-5</v>
      </c>
    </row>
    <row r="39" spans="1:24">
      <c r="A39" s="950"/>
      <c r="B39" s="642"/>
      <c r="C39" s="485" t="str">
        <f>SUMMARY!$B$15</f>
        <v>US Avg Elec</v>
      </c>
      <c r="D39" s="629"/>
      <c r="E39" s="629"/>
      <c r="F39" s="629">
        <f t="array" ref="F39">SUM(IF($C39=$C36:$C38,F36:F38))</f>
        <v>0.97063136966466734</v>
      </c>
      <c r="G39" s="629">
        <f t="array" ref="G39">SUM(IF($C39=$C36:$C38,G36:G38))</f>
        <v>3.6235867918390363E-4</v>
      </c>
      <c r="H39" s="629"/>
      <c r="I39" s="629">
        <f t="array" ref="I39">SUM(IF($C39=$C36:$C38,I36:I38))</f>
        <v>2.0997514145309807E-3</v>
      </c>
      <c r="J39" s="629">
        <f t="array" ref="J39">SUM(IF($C39=$C36:$C38,J36:J38))</f>
        <v>1.5109432080956571E-3</v>
      </c>
      <c r="K39" s="629">
        <f t="array" ref="K39">SUM(IF($C39=$C36:$C38,K36:K38))</f>
        <v>5.5990378308006016E-4</v>
      </c>
      <c r="L39" s="629">
        <f t="array" ref="L39">SUM(IF($C39=$C36:$C38,L36:L38))</f>
        <v>2.9449611240703506E-3</v>
      </c>
      <c r="M39" s="629">
        <f t="array" ref="M39">SUM(IF($C39=$C36:$C38,M36:M38))</f>
        <v>1.8167657821730355E-3</v>
      </c>
      <c r="N39" s="477"/>
      <c r="O39" s="485"/>
      <c r="P39" s="629"/>
      <c r="Q39" s="629">
        <f t="array" ref="Q39">SUM(IF($C39=$C36:$C38,Q36:Q38))</f>
        <v>0.67867581298577495</v>
      </c>
      <c r="R39" s="629">
        <f t="array" ref="R39">SUM(IF($C39=$C36:$C38,R36:R38))</f>
        <v>1.7395947109962096E-4</v>
      </c>
      <c r="S39" s="629"/>
      <c r="T39" s="629">
        <f t="array" ref="T39">SUM(IF($C39=$C36:$C38,T36:T38))</f>
        <v>7.1260453001561108E-4</v>
      </c>
      <c r="U39" s="629">
        <f t="array" ref="U39">SUM(IF($C39=$C36:$C38,U36:U38))</f>
        <v>8.6069673912864955E-4</v>
      </c>
      <c r="V39" s="629">
        <f t="array" ref="V39">SUM(IF($C39=$C36:$C38,V36:V38))</f>
        <v>2.267261955663916E-4</v>
      </c>
      <c r="W39" s="629">
        <f t="array" ref="W39">SUM(IF($C39=$C36:$C38,W36:W38))</f>
        <v>1.566736537513252E-3</v>
      </c>
      <c r="X39" s="629">
        <f t="array" ref="X39">SUM(IF($C39=$C36:$C38,X36:X38))</f>
        <v>5.8607378440397641E-5</v>
      </c>
    </row>
    <row r="40" spans="1:24">
      <c r="A40" s="950"/>
      <c r="B40" s="642"/>
      <c r="C40" s="635"/>
      <c r="D40" s="443"/>
      <c r="E40" s="477"/>
      <c r="F40" s="477"/>
      <c r="G40" s="477"/>
      <c r="H40" s="477"/>
      <c r="I40" s="477"/>
      <c r="J40" s="477"/>
      <c r="K40" s="477"/>
      <c r="L40" s="477"/>
      <c r="M40" s="477"/>
      <c r="N40" s="477"/>
      <c r="O40" s="443"/>
      <c r="P40" s="477"/>
      <c r="Q40" s="477"/>
      <c r="R40" s="477"/>
      <c r="S40" s="477"/>
      <c r="T40" s="477"/>
      <c r="U40" s="477"/>
      <c r="V40" s="477"/>
      <c r="W40" s="477"/>
      <c r="X40" s="477"/>
    </row>
    <row r="41" spans="1:24">
      <c r="A41" s="950"/>
      <c r="B41" s="642"/>
      <c r="C41" s="635"/>
      <c r="D41" s="491" t="s">
        <v>530</v>
      </c>
      <c r="E41" s="477"/>
      <c r="F41" s="477"/>
      <c r="G41" s="477"/>
      <c r="H41" s="477"/>
      <c r="I41" s="477"/>
      <c r="J41" s="477"/>
      <c r="K41" s="477"/>
      <c r="L41" s="477"/>
      <c r="M41" s="477"/>
      <c r="N41" s="477"/>
      <c r="O41" s="491" t="s">
        <v>538</v>
      </c>
      <c r="P41" s="477"/>
      <c r="Q41" s="477"/>
      <c r="R41" s="477"/>
      <c r="S41" s="477"/>
      <c r="T41" s="477"/>
      <c r="U41" s="477"/>
      <c r="V41" s="477"/>
      <c r="W41" s="477"/>
      <c r="X41" s="477"/>
    </row>
    <row r="42" spans="1:24">
      <c r="A42" s="950"/>
      <c r="B42" s="642"/>
      <c r="C42" s="443" t="str">
        <f>C36</f>
        <v>US Avg Elec</v>
      </c>
      <c r="E42" s="477"/>
      <c r="F42" s="477">
        <v>0.97063136966466734</v>
      </c>
      <c r="G42" s="477">
        <v>3.6235867918390363E-4</v>
      </c>
      <c r="H42" s="477"/>
      <c r="I42" s="477">
        <v>2.0997514145309807E-3</v>
      </c>
      <c r="J42" s="477">
        <v>1.5109432080956571E-3</v>
      </c>
      <c r="K42" s="477">
        <v>5.5990378308006016E-4</v>
      </c>
      <c r="L42" s="477">
        <v>2.9449611240703506E-3</v>
      </c>
      <c r="M42" s="477">
        <v>1.8167657821730355E-3</v>
      </c>
      <c r="N42" s="477"/>
      <c r="O42" s="443"/>
      <c r="P42" s="477"/>
      <c r="Q42" s="159">
        <v>0.11824331933314468</v>
      </c>
      <c r="R42" s="159">
        <v>3.0308351791356047E-5</v>
      </c>
      <c r="S42" s="159"/>
      <c r="T42" s="159">
        <v>1.2415460134078402E-4</v>
      </c>
      <c r="U42" s="159">
        <v>1.4995619031426773E-4</v>
      </c>
      <c r="V42" s="159">
        <v>3.9501714118266006E-5</v>
      </c>
      <c r="W42" s="159">
        <v>2.7296704136407437E-4</v>
      </c>
      <c r="X42" s="159">
        <v>1.0210959093589574E-5</v>
      </c>
    </row>
    <row r="43" spans="1:24">
      <c r="A43" s="950"/>
      <c r="B43" s="642"/>
      <c r="C43" s="443" t="str">
        <f>C37</f>
        <v>5% Elec Source</v>
      </c>
      <c r="E43" s="477"/>
      <c r="F43" s="477">
        <v>0.5212808960438603</v>
      </c>
      <c r="G43" s="477">
        <v>2.4870376879305181E-4</v>
      </c>
      <c r="H43" s="477"/>
      <c r="I43" s="477">
        <v>1.634180301800629E-3</v>
      </c>
      <c r="J43" s="477">
        <v>9.4863264404861244E-4</v>
      </c>
      <c r="K43" s="477">
        <v>4.6352510076123958E-4</v>
      </c>
      <c r="L43" s="477">
        <v>1.9217564591311924E-3</v>
      </c>
      <c r="M43" s="477">
        <v>1.7784898667403521E-3</v>
      </c>
      <c r="N43" s="477"/>
      <c r="O43" s="443"/>
      <c r="P43" s="477"/>
      <c r="Q43" s="159">
        <v>0</v>
      </c>
      <c r="R43" s="159">
        <v>0</v>
      </c>
      <c r="S43" s="159"/>
      <c r="T43" s="159">
        <v>0</v>
      </c>
      <c r="U43" s="159">
        <v>0</v>
      </c>
      <c r="V43" s="159">
        <v>0</v>
      </c>
      <c r="W43" s="159">
        <v>0</v>
      </c>
      <c r="X43" s="159">
        <v>0</v>
      </c>
    </row>
    <row r="44" spans="1:24">
      <c r="A44" s="950"/>
      <c r="B44" s="642"/>
      <c r="C44" s="443" t="str">
        <f>C38</f>
        <v>95% Elec Source</v>
      </c>
      <c r="E44" s="477"/>
      <c r="F44" s="477">
        <v>1.2331394557365891</v>
      </c>
      <c r="G44" s="477">
        <v>3.8397816483739974E-4</v>
      </c>
      <c r="H44" s="477"/>
      <c r="I44" s="477">
        <v>2.351176682597642E-3</v>
      </c>
      <c r="J44" s="477">
        <v>2.0466456813990098E-3</v>
      </c>
      <c r="K44" s="477">
        <v>6.4541119245637335E-4</v>
      </c>
      <c r="L44" s="477">
        <v>3.7123706450290519E-3</v>
      </c>
      <c r="M44" s="477">
        <v>1.8320444961553268E-3</v>
      </c>
      <c r="N44" s="477"/>
      <c r="O44" s="443"/>
      <c r="P44" s="477"/>
      <c r="Q44" s="159">
        <v>0.18781105910833337</v>
      </c>
      <c r="R44" s="159">
        <v>3.607350656783439E-5</v>
      </c>
      <c r="S44" s="159"/>
      <c r="T44" s="159">
        <v>1.9120335230078599E-4</v>
      </c>
      <c r="U44" s="159">
        <v>2.9281656028095271E-4</v>
      </c>
      <c r="V44" s="159">
        <v>7.5922631152464218E-5</v>
      </c>
      <c r="W44" s="159">
        <v>4.7769388345033118E-4</v>
      </c>
      <c r="X44" s="159">
        <v>1.4286912595472009E-5</v>
      </c>
    </row>
    <row r="45" spans="1:24">
      <c r="A45" s="950"/>
      <c r="B45" s="642"/>
      <c r="C45" s="485" t="str">
        <f>SUMMARY!$B$15</f>
        <v>US Avg Elec</v>
      </c>
      <c r="D45" s="629"/>
      <c r="E45" s="629"/>
      <c r="F45" s="629">
        <f t="array" ref="F45">SUM(IF($C45=$C42:$C44,F42:F44))</f>
        <v>0.97063136966466734</v>
      </c>
      <c r="G45" s="629">
        <f t="array" ref="G45">SUM(IF($C45=$C42:$C44,G42:G44))</f>
        <v>3.6235867918390363E-4</v>
      </c>
      <c r="H45" s="629"/>
      <c r="I45" s="629">
        <f t="array" ref="I45">SUM(IF($C45=$C42:$C44,I42:I44))</f>
        <v>2.0997514145309807E-3</v>
      </c>
      <c r="J45" s="629">
        <f t="array" ref="J45">SUM(IF($C45=$C42:$C44,J42:J44))</f>
        <v>1.5109432080956571E-3</v>
      </c>
      <c r="K45" s="629">
        <f t="array" ref="K45">SUM(IF($C45=$C42:$C44,K42:K44))</f>
        <v>5.5990378308006016E-4</v>
      </c>
      <c r="L45" s="629">
        <f t="array" ref="L45">SUM(IF($C45=$C42:$C44,L42:L44))</f>
        <v>2.9449611240703506E-3</v>
      </c>
      <c r="M45" s="629">
        <f t="array" ref="M45">SUM(IF($C45=$C42:$C44,M42:M44))</f>
        <v>1.8167657821730355E-3</v>
      </c>
      <c r="N45" s="477"/>
      <c r="O45" s="485"/>
      <c r="P45" s="629"/>
      <c r="Q45" s="629">
        <f t="array" ref="Q45">SUM(IF($C45=$C42:$C44,Q42:Q44))</f>
        <v>0.11824331933314468</v>
      </c>
      <c r="R45" s="629">
        <f t="array" ref="R45">SUM(IF($C45=$C42:$C44,R42:R44))</f>
        <v>3.0308351791356047E-5</v>
      </c>
      <c r="S45" s="629"/>
      <c r="T45" s="629">
        <f t="array" ref="T45">SUM(IF($C45=$C42:$C44,T42:T44))</f>
        <v>1.2415460134078402E-4</v>
      </c>
      <c r="U45" s="629">
        <f t="array" ref="U45">SUM(IF($C45=$C42:$C44,U42:U44))</f>
        <v>1.4995619031426773E-4</v>
      </c>
      <c r="V45" s="629">
        <f t="array" ref="V45">SUM(IF($C45=$C42:$C44,V42:V44))</f>
        <v>3.9501714118266006E-5</v>
      </c>
      <c r="W45" s="629">
        <f t="array" ref="W45">SUM(IF($C45=$C42:$C44,W42:W44))</f>
        <v>2.7296704136407437E-4</v>
      </c>
      <c r="X45" s="629">
        <f t="array" ref="X45">SUM(IF($C45=$C42:$C44,X42:X44))</f>
        <v>1.0210959093589574E-5</v>
      </c>
    </row>
    <row r="46" spans="1:24">
      <c r="A46" s="950"/>
      <c r="B46" s="642"/>
      <c r="C46" s="635"/>
      <c r="D46" s="443"/>
      <c r="E46" s="477"/>
      <c r="F46" s="477"/>
      <c r="G46" s="477"/>
      <c r="H46" s="477"/>
      <c r="I46" s="477"/>
      <c r="J46" s="477"/>
      <c r="K46" s="477"/>
      <c r="L46" s="477"/>
      <c r="M46" s="477"/>
      <c r="N46" s="477"/>
      <c r="O46" s="443"/>
      <c r="P46" s="477"/>
      <c r="Q46" s="159"/>
      <c r="R46" s="159"/>
      <c r="S46" s="159"/>
      <c r="T46" s="159"/>
      <c r="U46" s="159"/>
      <c r="V46" s="159"/>
      <c r="W46" s="159"/>
      <c r="X46" s="159"/>
    </row>
    <row r="47" spans="1:24">
      <c r="A47" s="950"/>
      <c r="B47" s="642"/>
      <c r="C47" s="635"/>
      <c r="D47" s="491" t="s">
        <v>534</v>
      </c>
      <c r="E47" s="477"/>
      <c r="F47" s="477"/>
      <c r="G47" s="477"/>
      <c r="H47" s="477"/>
      <c r="I47" s="477"/>
      <c r="J47" s="477"/>
      <c r="K47" s="477"/>
      <c r="L47" s="477"/>
      <c r="M47" s="477"/>
      <c r="N47" s="477"/>
      <c r="O47" s="491" t="s">
        <v>537</v>
      </c>
      <c r="P47" s="477"/>
      <c r="Q47" s="159"/>
      <c r="R47" s="159"/>
      <c r="S47" s="159"/>
      <c r="T47" s="159"/>
      <c r="U47" s="159"/>
      <c r="V47" s="159"/>
      <c r="W47" s="159"/>
      <c r="X47" s="159"/>
    </row>
    <row r="48" spans="1:24">
      <c r="A48" s="950"/>
      <c r="B48" s="642"/>
      <c r="C48" s="443" t="str">
        <f>C42</f>
        <v>US Avg Elec</v>
      </c>
      <c r="E48" s="477"/>
      <c r="F48" s="477">
        <f>F42</f>
        <v>0.97063136966466734</v>
      </c>
      <c r="G48" s="477">
        <f>G42</f>
        <v>3.6235867918390363E-4</v>
      </c>
      <c r="H48" s="477"/>
      <c r="I48" s="477">
        <f>I42</f>
        <v>2.0997514145309807E-3</v>
      </c>
      <c r="J48" s="477">
        <f>J42</f>
        <v>1.5109432080956571E-3</v>
      </c>
      <c r="K48" s="477">
        <f>K42</f>
        <v>5.5990378308006016E-4</v>
      </c>
      <c r="L48" s="477">
        <f>L42</f>
        <v>2.9449611240703506E-3</v>
      </c>
      <c r="M48" s="477">
        <f>M42</f>
        <v>1.8167657821730355E-3</v>
      </c>
      <c r="N48" s="477"/>
      <c r="O48" s="443"/>
      <c r="P48" s="477"/>
      <c r="Q48" s="477">
        <f t="shared" ref="Q48:R50" si="30">Q42*batsizePHEV20/batsizeHEV_Liion</f>
        <v>0.26420042400904487</v>
      </c>
      <c r="R48" s="477">
        <f t="shared" si="30"/>
        <v>6.7720353584889539E-5</v>
      </c>
      <c r="S48" s="477"/>
      <c r="T48" s="477">
        <f t="shared" ref="T48:X50" si="31">T42*batsizePHEV20/batsizeHEV_Liion</f>
        <v>2.7740847010977347E-4</v>
      </c>
      <c r="U48" s="477">
        <f t="shared" si="31"/>
        <v>3.3505900618526646E-4</v>
      </c>
      <c r="V48" s="477">
        <f t="shared" si="31"/>
        <v>8.826181198217212E-5</v>
      </c>
      <c r="W48" s="477">
        <f t="shared" si="31"/>
        <v>6.0991190433088262E-4</v>
      </c>
      <c r="X48" s="477">
        <f t="shared" si="31"/>
        <v>2.2815155539270934E-5</v>
      </c>
    </row>
    <row r="49" spans="1:24">
      <c r="A49" s="950"/>
      <c r="B49" s="642"/>
      <c r="C49" s="443" t="str">
        <f>C43</f>
        <v>5% Elec Source</v>
      </c>
      <c r="E49" s="477"/>
      <c r="F49" s="477">
        <f t="shared" ref="F49:G49" si="32">F43</f>
        <v>0.5212808960438603</v>
      </c>
      <c r="G49" s="477">
        <f t="shared" si="32"/>
        <v>2.4870376879305181E-4</v>
      </c>
      <c r="H49" s="477"/>
      <c r="I49" s="477">
        <f t="shared" ref="I49:M49" si="33">I43</f>
        <v>1.634180301800629E-3</v>
      </c>
      <c r="J49" s="477">
        <f t="shared" si="33"/>
        <v>9.4863264404861244E-4</v>
      </c>
      <c r="K49" s="477">
        <f t="shared" si="33"/>
        <v>4.6352510076123958E-4</v>
      </c>
      <c r="L49" s="477">
        <f t="shared" si="33"/>
        <v>1.9217564591311924E-3</v>
      </c>
      <c r="M49" s="477">
        <f t="shared" si="33"/>
        <v>1.7784898667403521E-3</v>
      </c>
      <c r="N49" s="477"/>
      <c r="O49" s="443"/>
      <c r="P49" s="477"/>
      <c r="Q49" s="477">
        <f t="shared" si="30"/>
        <v>0</v>
      </c>
      <c r="R49" s="477">
        <f t="shared" si="30"/>
        <v>0</v>
      </c>
      <c r="S49" s="477"/>
      <c r="T49" s="477">
        <f t="shared" si="31"/>
        <v>0</v>
      </c>
      <c r="U49" s="477">
        <f t="shared" si="31"/>
        <v>0</v>
      </c>
      <c r="V49" s="477">
        <f t="shared" si="31"/>
        <v>0</v>
      </c>
      <c r="W49" s="477">
        <f t="shared" si="31"/>
        <v>0</v>
      </c>
      <c r="X49" s="477">
        <f t="shared" si="31"/>
        <v>0</v>
      </c>
    </row>
    <row r="50" spans="1:24">
      <c r="A50" s="950"/>
      <c r="B50" s="642"/>
      <c r="C50" s="443" t="str">
        <f>C44</f>
        <v>95% Elec Source</v>
      </c>
      <c r="E50" s="477"/>
      <c r="F50" s="477">
        <f t="shared" ref="F50:G50" si="34">F44</f>
        <v>1.2331394557365891</v>
      </c>
      <c r="G50" s="477">
        <f t="shared" si="34"/>
        <v>3.8397816483739974E-4</v>
      </c>
      <c r="H50" s="477"/>
      <c r="I50" s="477">
        <f t="shared" ref="I50:M50" si="35">I44</f>
        <v>2.351176682597642E-3</v>
      </c>
      <c r="J50" s="477">
        <f t="shared" si="35"/>
        <v>2.0466456813990098E-3</v>
      </c>
      <c r="K50" s="477">
        <f t="shared" si="35"/>
        <v>6.4541119245637335E-4</v>
      </c>
      <c r="L50" s="477">
        <f t="shared" si="35"/>
        <v>3.7123706450290519E-3</v>
      </c>
      <c r="M50" s="477">
        <f t="shared" si="35"/>
        <v>1.8320444961553268E-3</v>
      </c>
      <c r="N50" s="477"/>
      <c r="O50" s="443"/>
      <c r="P50" s="477"/>
      <c r="Q50" s="477">
        <f t="shared" si="30"/>
        <v>0.41964114107967698</v>
      </c>
      <c r="R50" s="477">
        <f t="shared" si="30"/>
        <v>8.060189602647079E-5</v>
      </c>
      <c r="S50" s="477"/>
      <c r="T50" s="477">
        <f t="shared" si="31"/>
        <v>4.272208107376629E-4</v>
      </c>
      <c r="U50" s="477">
        <f t="shared" si="31"/>
        <v>6.5426325833371963E-4</v>
      </c>
      <c r="V50" s="477">
        <f t="shared" si="31"/>
        <v>1.6963995476013927E-4</v>
      </c>
      <c r="W50" s="477">
        <f t="shared" si="31"/>
        <v>1.0673493205863329E-3</v>
      </c>
      <c r="X50" s="477">
        <f t="shared" si="31"/>
        <v>3.1922381634679049E-5</v>
      </c>
    </row>
    <row r="51" spans="1:24">
      <c r="A51" s="950"/>
      <c r="B51" s="642"/>
      <c r="C51" s="485" t="str">
        <f>SUMMARY!$B$15</f>
        <v>US Avg Elec</v>
      </c>
      <c r="D51" s="629"/>
      <c r="E51" s="629"/>
      <c r="F51" s="629">
        <f t="array" ref="F51">SUM(IF($C51=$C48:$C50,F48:F50))</f>
        <v>0.97063136966466734</v>
      </c>
      <c r="G51" s="629">
        <f t="array" ref="G51">SUM(IF($C51=$C48:$C50,G48:G50))</f>
        <v>3.6235867918390363E-4</v>
      </c>
      <c r="H51" s="629"/>
      <c r="I51" s="629">
        <f t="array" ref="I51">SUM(IF($C51=$C48:$C50,I48:I50))</f>
        <v>2.0997514145309807E-3</v>
      </c>
      <c r="J51" s="629">
        <f t="array" ref="J51">SUM(IF($C51=$C48:$C50,J48:J50))</f>
        <v>1.5109432080956571E-3</v>
      </c>
      <c r="K51" s="629">
        <f t="array" ref="K51">SUM(IF($C51=$C48:$C50,K48:K50))</f>
        <v>5.5990378308006016E-4</v>
      </c>
      <c r="L51" s="629">
        <f t="array" ref="L51">SUM(IF($C51=$C48:$C50,L48:L50))</f>
        <v>2.9449611240703506E-3</v>
      </c>
      <c r="M51" s="629">
        <f t="array" ref="M51">SUM(IF($C51=$C48:$C50,M48:M50))</f>
        <v>1.8167657821730355E-3</v>
      </c>
      <c r="N51" s="477"/>
      <c r="O51" s="485"/>
      <c r="P51" s="629"/>
      <c r="Q51" s="629">
        <f t="array" ref="Q51">SUM(IF($C51=$C48:$C50,Q48:Q50))</f>
        <v>0.26420042400904487</v>
      </c>
      <c r="R51" s="629">
        <f t="array" ref="R51">SUM(IF($C51=$C48:$C50,R48:R50))</f>
        <v>6.7720353584889539E-5</v>
      </c>
      <c r="S51" s="629"/>
      <c r="T51" s="629">
        <f t="array" ref="T51">SUM(IF($C51=$C48:$C50,T48:T50))</f>
        <v>2.7740847010977347E-4</v>
      </c>
      <c r="U51" s="629">
        <f t="array" ref="U51">SUM(IF($C51=$C48:$C50,U48:U50))</f>
        <v>3.3505900618526646E-4</v>
      </c>
      <c r="V51" s="629">
        <f t="array" ref="V51">SUM(IF($C51=$C48:$C50,V48:V50))</f>
        <v>8.826181198217212E-5</v>
      </c>
      <c r="W51" s="629">
        <f t="array" ref="W51">SUM(IF($C51=$C48:$C50,W48:W50))</f>
        <v>6.0991190433088262E-4</v>
      </c>
      <c r="X51" s="629">
        <f t="array" ref="X51">SUM(IF($C51=$C48:$C50,X48:X50))</f>
        <v>2.2815155539270934E-5</v>
      </c>
    </row>
    <row r="52" spans="1:24">
      <c r="A52" s="950"/>
      <c r="B52" s="642"/>
      <c r="C52" s="635"/>
      <c r="D52" s="443"/>
      <c r="E52" s="477"/>
      <c r="F52" s="477"/>
      <c r="G52" s="477"/>
      <c r="H52" s="477"/>
      <c r="I52" s="477"/>
      <c r="J52" s="477"/>
      <c r="K52" s="477"/>
      <c r="L52" s="477"/>
      <c r="M52" s="477"/>
      <c r="N52" s="477"/>
      <c r="O52" s="443"/>
      <c r="P52" s="477"/>
      <c r="Q52" s="477"/>
      <c r="R52" s="477"/>
      <c r="S52" s="477"/>
      <c r="T52" s="477"/>
      <c r="U52" s="477"/>
      <c r="V52" s="477"/>
      <c r="W52" s="477"/>
      <c r="X52" s="477"/>
    </row>
    <row r="53" spans="1:24">
      <c r="A53" s="950"/>
      <c r="B53" s="642"/>
      <c r="C53" s="635"/>
      <c r="D53" s="491" t="s">
        <v>544</v>
      </c>
      <c r="E53" s="477"/>
      <c r="F53" s="477"/>
      <c r="G53" s="477"/>
      <c r="H53" s="477"/>
      <c r="I53" s="477"/>
      <c r="J53" s="477"/>
      <c r="K53" s="477"/>
      <c r="L53" s="477"/>
      <c r="M53" s="477"/>
      <c r="N53" s="477"/>
      <c r="O53" s="491" t="s">
        <v>545</v>
      </c>
      <c r="P53" s="477"/>
      <c r="Q53" s="477"/>
      <c r="R53" s="477"/>
      <c r="S53" s="477"/>
      <c r="T53" s="477"/>
      <c r="U53" s="477"/>
      <c r="V53" s="477"/>
      <c r="W53" s="477"/>
      <c r="X53" s="477"/>
    </row>
    <row r="54" spans="1:24">
      <c r="A54" s="950"/>
      <c r="B54" s="642"/>
      <c r="C54" s="443" t="str">
        <f>C48</f>
        <v>US Avg Elec</v>
      </c>
      <c r="E54" s="477"/>
      <c r="F54" s="477">
        <f>F48</f>
        <v>0.97063136966466734</v>
      </c>
      <c r="G54" s="477">
        <f>G48</f>
        <v>3.6235867918390363E-4</v>
      </c>
      <c r="H54" s="477"/>
      <c r="I54" s="477">
        <f>I48</f>
        <v>2.0997514145309807E-3</v>
      </c>
      <c r="J54" s="477">
        <f>J48</f>
        <v>1.5109432080956571E-3</v>
      </c>
      <c r="K54" s="477">
        <f>K48</f>
        <v>5.5990378308006016E-4</v>
      </c>
      <c r="L54" s="477">
        <f>L48</f>
        <v>2.9449611240703506E-3</v>
      </c>
      <c r="M54" s="477">
        <f>M48</f>
        <v>1.8167657821730355E-3</v>
      </c>
      <c r="N54" s="477"/>
      <c r="O54" s="443"/>
      <c r="P54" s="477"/>
      <c r="Q54" s="477">
        <f t="shared" ref="Q54:R56" si="36">Q42*batsizePHEV60/batsizeHEV_Liion</f>
        <v>0.90614549586157056</v>
      </c>
      <c r="R54" s="477">
        <f t="shared" si="36"/>
        <v>2.3226493147868608E-4</v>
      </c>
      <c r="S54" s="477"/>
      <c r="T54" s="477">
        <f t="shared" ref="T54:X56" si="37">T42*batsizePHEV60/batsizeHEV_Liion</f>
        <v>9.5144599652578397E-4</v>
      </c>
      <c r="U54" s="477">
        <f t="shared" si="37"/>
        <v>1.1491738154524656E-3</v>
      </c>
      <c r="V54" s="477">
        <f t="shared" si="37"/>
        <v>3.0271731653802348E-4</v>
      </c>
      <c r="W54" s="477">
        <f t="shared" si="37"/>
        <v>2.0918547994565741E-3</v>
      </c>
      <c r="X54" s="477">
        <f t="shared" si="37"/>
        <v>7.8250633044342699E-5</v>
      </c>
    </row>
    <row r="55" spans="1:24">
      <c r="A55" s="950"/>
      <c r="B55" s="642"/>
      <c r="C55" s="443" t="str">
        <f>C49</f>
        <v>5% Elec Source</v>
      </c>
      <c r="E55" s="477"/>
      <c r="F55" s="477">
        <f t="shared" ref="F55:G55" si="38">F49</f>
        <v>0.5212808960438603</v>
      </c>
      <c r="G55" s="477">
        <f t="shared" si="38"/>
        <v>2.4870376879305181E-4</v>
      </c>
      <c r="H55" s="477"/>
      <c r="I55" s="477">
        <f t="shared" ref="I55:M55" si="39">I49</f>
        <v>1.634180301800629E-3</v>
      </c>
      <c r="J55" s="477">
        <f t="shared" si="39"/>
        <v>9.4863264404861244E-4</v>
      </c>
      <c r="K55" s="477">
        <f t="shared" si="39"/>
        <v>4.6352510076123958E-4</v>
      </c>
      <c r="L55" s="477">
        <f t="shared" si="39"/>
        <v>1.9217564591311924E-3</v>
      </c>
      <c r="M55" s="477">
        <f t="shared" si="39"/>
        <v>1.7784898667403521E-3</v>
      </c>
      <c r="N55" s="477"/>
      <c r="O55" s="443"/>
      <c r="P55" s="477"/>
      <c r="Q55" s="477">
        <f t="shared" si="36"/>
        <v>0</v>
      </c>
      <c r="R55" s="477">
        <f t="shared" si="36"/>
        <v>0</v>
      </c>
      <c r="S55" s="477"/>
      <c r="T55" s="477">
        <f t="shared" si="37"/>
        <v>0</v>
      </c>
      <c r="U55" s="477">
        <f t="shared" si="37"/>
        <v>0</v>
      </c>
      <c r="V55" s="477">
        <f t="shared" si="37"/>
        <v>0</v>
      </c>
      <c r="W55" s="477">
        <f t="shared" si="37"/>
        <v>0</v>
      </c>
      <c r="X55" s="477">
        <f t="shared" si="37"/>
        <v>0</v>
      </c>
    </row>
    <row r="56" spans="1:24">
      <c r="A56" s="950"/>
      <c r="B56" s="642"/>
      <c r="C56" s="443" t="str">
        <f>C50</f>
        <v>95% Elec Source</v>
      </c>
      <c r="E56" s="477"/>
      <c r="F56" s="477">
        <f t="shared" ref="F56:G56" si="40">F50</f>
        <v>1.2331394557365891</v>
      </c>
      <c r="G56" s="477">
        <f t="shared" si="40"/>
        <v>3.8397816483739974E-4</v>
      </c>
      <c r="H56" s="477"/>
      <c r="I56" s="477">
        <f t="shared" ref="I56:M56" si="41">I50</f>
        <v>2.351176682597642E-3</v>
      </c>
      <c r="J56" s="477">
        <f t="shared" si="41"/>
        <v>2.0466456813990098E-3</v>
      </c>
      <c r="K56" s="477">
        <f t="shared" si="41"/>
        <v>6.4541119245637335E-4</v>
      </c>
      <c r="L56" s="477">
        <f t="shared" si="41"/>
        <v>3.7123706450290519E-3</v>
      </c>
      <c r="M56" s="477">
        <f t="shared" si="41"/>
        <v>1.8320444961553268E-3</v>
      </c>
      <c r="N56" s="477"/>
      <c r="O56" s="443"/>
      <c r="P56" s="477"/>
      <c r="Q56" s="477">
        <f t="shared" si="36"/>
        <v>1.4392707025123517</v>
      </c>
      <c r="R56" s="477">
        <f t="shared" si="36"/>
        <v>2.7644560116144517E-4</v>
      </c>
      <c r="S56" s="477"/>
      <c r="T56" s="477">
        <f t="shared" si="37"/>
        <v>1.465267191906583E-3</v>
      </c>
      <c r="U56" s="477">
        <f t="shared" si="37"/>
        <v>2.2439695427079213E-3</v>
      </c>
      <c r="V56" s="477">
        <f t="shared" si="37"/>
        <v>5.8182526201698396E-4</v>
      </c>
      <c r="W56" s="477">
        <f t="shared" si="37"/>
        <v>3.6607578620960193E-3</v>
      </c>
      <c r="X56" s="477">
        <f t="shared" si="37"/>
        <v>1.0948628278676894E-4</v>
      </c>
    </row>
    <row r="57" spans="1:24">
      <c r="A57" s="950"/>
      <c r="B57" s="642"/>
      <c r="C57" s="485" t="str">
        <f>SUMMARY!$B$15</f>
        <v>US Avg Elec</v>
      </c>
      <c r="D57" s="629"/>
      <c r="E57" s="629"/>
      <c r="F57" s="629">
        <f t="array" ref="F57">SUM(IF($C57=$C54:$C56,F54:F56))</f>
        <v>0.97063136966466734</v>
      </c>
      <c r="G57" s="629">
        <f t="array" ref="G57">SUM(IF($C57=$C54:$C56,G54:G56))</f>
        <v>3.6235867918390363E-4</v>
      </c>
      <c r="H57" s="629"/>
      <c r="I57" s="629">
        <f t="array" ref="I57">SUM(IF($C57=$C54:$C56,I54:I56))</f>
        <v>2.0997514145309807E-3</v>
      </c>
      <c r="J57" s="629">
        <f t="array" ref="J57">SUM(IF($C57=$C54:$C56,J54:J56))</f>
        <v>1.5109432080956571E-3</v>
      </c>
      <c r="K57" s="629">
        <f t="array" ref="K57">SUM(IF($C57=$C54:$C56,K54:K56))</f>
        <v>5.5990378308006016E-4</v>
      </c>
      <c r="L57" s="629">
        <f t="array" ref="L57">SUM(IF($C57=$C54:$C56,L54:L56))</f>
        <v>2.9449611240703506E-3</v>
      </c>
      <c r="M57" s="629">
        <f t="array" ref="M57">SUM(IF($C57=$C54:$C56,M54:M56))</f>
        <v>1.8167657821730355E-3</v>
      </c>
      <c r="N57" s="477"/>
      <c r="O57" s="485"/>
      <c r="P57" s="629"/>
      <c r="Q57" s="629">
        <f t="array" ref="Q57">SUM(IF($C57=$C54:$C56,Q54:Q56))</f>
        <v>0.90614549586157056</v>
      </c>
      <c r="R57" s="629">
        <f t="array" ref="R57">SUM(IF($C57=$C54:$C56,R54:R56))</f>
        <v>2.3226493147868608E-4</v>
      </c>
      <c r="S57" s="629"/>
      <c r="T57" s="629">
        <f t="array" ref="T57">SUM(IF($C57=$C54:$C56,T54:T56))</f>
        <v>9.5144599652578397E-4</v>
      </c>
      <c r="U57" s="629">
        <f t="array" ref="U57">SUM(IF($C57=$C54:$C56,U54:U56))</f>
        <v>1.1491738154524656E-3</v>
      </c>
      <c r="V57" s="629">
        <f t="array" ref="V57">SUM(IF($C57=$C54:$C56,V54:V56))</f>
        <v>3.0271731653802348E-4</v>
      </c>
      <c r="W57" s="629">
        <f t="array" ref="W57">SUM(IF($C57=$C54:$C56,W54:W56))</f>
        <v>2.0918547994565741E-3</v>
      </c>
      <c r="X57" s="629">
        <f t="array" ref="X57">SUM(IF($C57=$C54:$C56,X54:X56))</f>
        <v>7.8250633044342699E-5</v>
      </c>
    </row>
    <row r="58" spans="1:24">
      <c r="A58" s="950"/>
      <c r="B58" s="642"/>
      <c r="C58" s="635"/>
      <c r="D58" s="443"/>
      <c r="E58" s="477"/>
      <c r="F58" s="477"/>
      <c r="G58" s="477"/>
      <c r="H58" s="477"/>
      <c r="I58" s="477"/>
      <c r="J58" s="477"/>
      <c r="K58" s="477"/>
      <c r="L58" s="477"/>
      <c r="M58" s="477"/>
      <c r="N58" s="477"/>
      <c r="O58" s="443"/>
      <c r="P58" s="477"/>
      <c r="Q58" s="477"/>
      <c r="R58" s="477"/>
      <c r="S58" s="477"/>
      <c r="T58" s="477"/>
      <c r="U58" s="477"/>
      <c r="V58" s="477"/>
      <c r="W58" s="477"/>
      <c r="X58" s="477"/>
    </row>
    <row r="59" spans="1:24">
      <c r="A59" s="950"/>
      <c r="B59" s="642"/>
      <c r="C59" s="635"/>
      <c r="D59" s="491" t="s">
        <v>550</v>
      </c>
      <c r="E59" s="477"/>
      <c r="F59" s="477"/>
      <c r="G59" s="477"/>
      <c r="H59" s="477"/>
      <c r="I59" s="477"/>
      <c r="J59" s="477"/>
      <c r="K59" s="477"/>
      <c r="L59" s="477"/>
      <c r="M59" s="477"/>
      <c r="N59" s="477"/>
      <c r="O59" s="491" t="s">
        <v>551</v>
      </c>
      <c r="P59" s="477"/>
      <c r="Q59" s="477"/>
      <c r="R59" s="477"/>
      <c r="S59" s="477"/>
      <c r="T59" s="477"/>
      <c r="U59" s="477"/>
      <c r="V59" s="477"/>
      <c r="W59" s="477"/>
      <c r="X59" s="477"/>
    </row>
    <row r="60" spans="1:24">
      <c r="A60" s="950"/>
      <c r="B60" s="642"/>
      <c r="C60" s="443" t="str">
        <f>C54</f>
        <v>US Avg Elec</v>
      </c>
      <c r="E60" s="477"/>
      <c r="F60" s="477">
        <f t="shared" ref="F60:F62" si="42">F54</f>
        <v>0.97063136966466734</v>
      </c>
      <c r="G60" s="477">
        <f t="shared" ref="G60:G62" si="43">G54</f>
        <v>3.6235867918390363E-4</v>
      </c>
      <c r="H60" s="477"/>
      <c r="I60" s="477">
        <f t="shared" ref="I60:I62" si="44">I54</f>
        <v>2.0997514145309807E-3</v>
      </c>
      <c r="J60" s="477">
        <f t="shared" ref="J60:M62" si="45">J54</f>
        <v>1.5109432080956571E-3</v>
      </c>
      <c r="K60" s="477">
        <f t="shared" ref="K60:M60" si="46">K54</f>
        <v>5.5990378308006016E-4</v>
      </c>
      <c r="L60" s="477">
        <f t="shared" si="46"/>
        <v>2.9449611240703506E-3</v>
      </c>
      <c r="M60" s="477">
        <f t="shared" si="46"/>
        <v>1.8167657821730355E-3</v>
      </c>
      <c r="N60" s="477"/>
      <c r="O60" s="443"/>
      <c r="P60" s="477"/>
      <c r="Q60" s="477">
        <f t="shared" ref="Q60:R62" si="47">Q42*batsizeBEV/batsizeHEV_Liion</f>
        <v>3.7582965582021428</v>
      </c>
      <c r="R60" s="477">
        <f t="shared" si="47"/>
        <v>9.6333369922831482E-4</v>
      </c>
      <c r="S60" s="477"/>
      <c r="T60" s="477">
        <f t="shared" ref="T60:X62" si="48">T42*batsizeBEV/batsizeHEV_Liion</f>
        <v>3.9461832899783346E-3</v>
      </c>
      <c r="U60" s="477">
        <f t="shared" si="48"/>
        <v>4.7662720999176256E-3</v>
      </c>
      <c r="V60" s="477">
        <f t="shared" si="48"/>
        <v>1.2555394846070569E-3</v>
      </c>
      <c r="W60" s="477">
        <f t="shared" si="48"/>
        <v>8.6761019383329845E-3</v>
      </c>
      <c r="X60" s="477">
        <f t="shared" si="48"/>
        <v>3.2454951902406107E-4</v>
      </c>
    </row>
    <row r="61" spans="1:24">
      <c r="A61" s="618"/>
      <c r="B61" s="642"/>
      <c r="C61" s="443" t="str">
        <f>C55</f>
        <v>5% Elec Source</v>
      </c>
      <c r="E61" s="477"/>
      <c r="F61" s="477">
        <f t="shared" si="42"/>
        <v>0.5212808960438603</v>
      </c>
      <c r="G61" s="477">
        <f t="shared" si="43"/>
        <v>2.4870376879305181E-4</v>
      </c>
      <c r="H61" s="477"/>
      <c r="I61" s="477">
        <f t="shared" si="44"/>
        <v>1.634180301800629E-3</v>
      </c>
      <c r="J61" s="477">
        <f t="shared" si="45"/>
        <v>9.4863264404861244E-4</v>
      </c>
      <c r="K61" s="477">
        <f t="shared" si="45"/>
        <v>4.6352510076123958E-4</v>
      </c>
      <c r="L61" s="477">
        <f t="shared" si="45"/>
        <v>1.9217564591311924E-3</v>
      </c>
      <c r="M61" s="477">
        <f t="shared" si="45"/>
        <v>1.7784898667403521E-3</v>
      </c>
      <c r="N61" s="477"/>
      <c r="O61" s="443"/>
      <c r="P61" s="477"/>
      <c r="Q61" s="477">
        <f t="shared" si="47"/>
        <v>0</v>
      </c>
      <c r="R61" s="477">
        <f t="shared" si="47"/>
        <v>0</v>
      </c>
      <c r="S61" s="477"/>
      <c r="T61" s="477">
        <f t="shared" si="48"/>
        <v>0</v>
      </c>
      <c r="U61" s="477">
        <f t="shared" si="48"/>
        <v>0</v>
      </c>
      <c r="V61" s="477">
        <f t="shared" si="48"/>
        <v>0</v>
      </c>
      <c r="W61" s="477">
        <f t="shared" si="48"/>
        <v>0</v>
      </c>
      <c r="X61" s="477">
        <f t="shared" si="48"/>
        <v>0</v>
      </c>
    </row>
    <row r="62" spans="1:24">
      <c r="A62" s="618"/>
      <c r="B62" s="642"/>
      <c r="C62" s="443" t="str">
        <f>C56</f>
        <v>95% Elec Source</v>
      </c>
      <c r="E62" s="477"/>
      <c r="F62" s="477">
        <f t="shared" si="42"/>
        <v>1.2331394557365891</v>
      </c>
      <c r="G62" s="477">
        <f t="shared" si="43"/>
        <v>3.8397816483739974E-4</v>
      </c>
      <c r="H62" s="477"/>
      <c r="I62" s="477">
        <f t="shared" si="44"/>
        <v>2.351176682597642E-3</v>
      </c>
      <c r="J62" s="477">
        <f t="shared" si="45"/>
        <v>2.0466456813990098E-3</v>
      </c>
      <c r="K62" s="477">
        <f t="shared" si="45"/>
        <v>6.4541119245637335E-4</v>
      </c>
      <c r="L62" s="477">
        <f t="shared" si="45"/>
        <v>3.7123706450290519E-3</v>
      </c>
      <c r="M62" s="477">
        <f t="shared" si="45"/>
        <v>1.8320444961553268E-3</v>
      </c>
      <c r="N62" s="477"/>
      <c r="O62" s="443"/>
      <c r="P62" s="477"/>
      <c r="Q62" s="477">
        <f t="shared" si="47"/>
        <v>5.9694675438741038</v>
      </c>
      <c r="R62" s="477">
        <f t="shared" si="47"/>
        <v>1.1465758601904496E-3</v>
      </c>
      <c r="S62" s="477"/>
      <c r="T62" s="477">
        <f t="shared" si="48"/>
        <v>6.0772896508777723E-3</v>
      </c>
      <c r="U62" s="477">
        <f t="shared" si="48"/>
        <v>9.3070075915909871E-3</v>
      </c>
      <c r="V62" s="477">
        <f t="shared" si="48"/>
        <v>2.4131575885993732E-3</v>
      </c>
      <c r="W62" s="477">
        <f t="shared" si="48"/>
        <v>1.5183228009587447E-2</v>
      </c>
      <c r="X62" s="477">
        <f t="shared" si="48"/>
        <v>4.5410137957659861E-4</v>
      </c>
    </row>
    <row r="63" spans="1:24">
      <c r="A63" s="618"/>
      <c r="B63" s="642"/>
      <c r="C63" s="485" t="str">
        <f>SUMMARY!$B$15</f>
        <v>US Avg Elec</v>
      </c>
      <c r="D63" s="629"/>
      <c r="E63" s="629"/>
      <c r="F63" s="629">
        <f t="array" ref="F63">SUM(IF($C63=$C60:$C62,F60:F62))</f>
        <v>0.97063136966466734</v>
      </c>
      <c r="G63" s="629">
        <f t="array" ref="G63">SUM(IF($C63=$C60:$C62,G60:G62))</f>
        <v>3.6235867918390363E-4</v>
      </c>
      <c r="H63" s="629"/>
      <c r="I63" s="629">
        <f t="array" ref="I63">SUM(IF($C63=$C60:$C62,I60:I62))</f>
        <v>2.0997514145309807E-3</v>
      </c>
      <c r="J63" s="629">
        <f t="array" ref="J63">SUM(IF($C63=$C60:$C62,J60:J62))</f>
        <v>1.5109432080956571E-3</v>
      </c>
      <c r="K63" s="629">
        <f t="array" ref="K63">SUM(IF($C63=$C60:$C62,K60:K62))</f>
        <v>5.5990378308006016E-4</v>
      </c>
      <c r="L63" s="629">
        <f t="array" ref="L63">SUM(IF($C63=$C60:$C62,L60:L62))</f>
        <v>2.9449611240703506E-3</v>
      </c>
      <c r="M63" s="629">
        <f t="array" ref="M63">SUM(IF($C63=$C60:$C62,M60:M62))</f>
        <v>1.8167657821730355E-3</v>
      </c>
      <c r="N63" s="477"/>
      <c r="O63" s="485"/>
      <c r="P63" s="629"/>
      <c r="Q63" s="629">
        <f t="array" ref="Q63">SUM(IF($C63=$C60:$C62,Q60:Q62))</f>
        <v>3.7582965582021428</v>
      </c>
      <c r="R63" s="629">
        <f t="array" ref="R63">SUM(IF($C63=$C60:$C62,R60:R62))</f>
        <v>9.6333369922831482E-4</v>
      </c>
      <c r="S63" s="629"/>
      <c r="T63" s="629">
        <f t="array" ref="T63">SUM(IF($C63=$C60:$C62,T60:T62))</f>
        <v>3.9461832899783346E-3</v>
      </c>
      <c r="U63" s="629">
        <f t="array" ref="U63">SUM(IF($C63=$C60:$C62,U60:U62))</f>
        <v>4.7662720999176256E-3</v>
      </c>
      <c r="V63" s="629">
        <f t="array" ref="V63">SUM(IF($C63=$C60:$C62,V60:V62))</f>
        <v>1.2555394846070569E-3</v>
      </c>
      <c r="W63" s="629">
        <f t="array" ref="W63">SUM(IF($C63=$C60:$C62,W60:W62))</f>
        <v>8.6761019383329845E-3</v>
      </c>
      <c r="X63" s="629">
        <f t="array" ref="X63">SUM(IF($C63=$C60:$C62,X60:X62))</f>
        <v>3.2454951902406107E-4</v>
      </c>
    </row>
    <row r="64" spans="1:24">
      <c r="A64" s="474"/>
      <c r="B64" s="641"/>
      <c r="C64" s="633"/>
      <c r="D64" s="474"/>
      <c r="E64" s="478"/>
      <c r="F64" s="478"/>
      <c r="G64" s="478"/>
      <c r="H64" s="478"/>
      <c r="I64" s="478"/>
      <c r="J64" s="478"/>
      <c r="K64" s="478"/>
      <c r="L64" s="478"/>
      <c r="M64" s="478"/>
      <c r="N64" s="490"/>
      <c r="O64" s="474"/>
      <c r="P64" s="474"/>
      <c r="Q64" s="474"/>
      <c r="R64" s="474"/>
      <c r="S64" s="474"/>
      <c r="T64" s="474"/>
      <c r="U64" s="474"/>
      <c r="V64" s="474"/>
      <c r="W64" s="474"/>
      <c r="X64" s="474"/>
    </row>
    <row r="65" spans="1:24">
      <c r="C65" s="631"/>
      <c r="E65" s="141"/>
      <c r="F65" s="141"/>
      <c r="G65" s="141"/>
      <c r="H65" s="141"/>
      <c r="I65" s="141"/>
      <c r="J65" s="141"/>
      <c r="K65" s="141"/>
      <c r="L65" s="141"/>
      <c r="M65" s="141"/>
      <c r="N65" s="141"/>
    </row>
    <row r="66" spans="1:24">
      <c r="A66" s="950" t="s">
        <v>456</v>
      </c>
      <c r="B66" s="642"/>
      <c r="C66" s="635"/>
      <c r="D66" s="475" t="s">
        <v>527</v>
      </c>
      <c r="O66" s="475" t="s">
        <v>541</v>
      </c>
      <c r="P66" s="141"/>
      <c r="Q66" s="141"/>
      <c r="R66" s="141"/>
      <c r="S66" s="141"/>
      <c r="T66" s="141"/>
      <c r="U66" s="141"/>
      <c r="V66" s="141"/>
      <c r="W66" s="141"/>
      <c r="X66" s="141"/>
    </row>
    <row r="67" spans="1:24" ht="15.75" thickBot="1">
      <c r="A67" s="950"/>
      <c r="B67" s="642"/>
      <c r="C67" s="649"/>
      <c r="D67" s="414"/>
      <c r="E67" s="414" t="s">
        <v>1</v>
      </c>
      <c r="F67" s="414" t="s">
        <v>15</v>
      </c>
      <c r="G67" s="476" t="s">
        <v>2</v>
      </c>
      <c r="H67" s="476" t="s">
        <v>43</v>
      </c>
      <c r="I67" s="476" t="s">
        <v>25</v>
      </c>
      <c r="J67" s="476" t="s">
        <v>26</v>
      </c>
      <c r="K67" s="476" t="s">
        <v>27</v>
      </c>
      <c r="L67" s="476" t="s">
        <v>39</v>
      </c>
      <c r="M67" s="476" t="s">
        <v>3</v>
      </c>
      <c r="N67" s="552"/>
      <c r="O67" s="414"/>
      <c r="P67" s="479" t="s">
        <v>1</v>
      </c>
      <c r="Q67" s="479" t="s">
        <v>15</v>
      </c>
      <c r="R67" s="480" t="s">
        <v>2</v>
      </c>
      <c r="S67" s="480" t="s">
        <v>43</v>
      </c>
      <c r="T67" s="480" t="s">
        <v>25</v>
      </c>
      <c r="U67" s="480" t="s">
        <v>26</v>
      </c>
      <c r="V67" s="480" t="s">
        <v>27</v>
      </c>
      <c r="W67" s="480" t="s">
        <v>39</v>
      </c>
      <c r="X67" s="480" t="s">
        <v>3</v>
      </c>
    </row>
    <row r="68" spans="1:24" ht="15.75" thickTop="1">
      <c r="A68" s="950"/>
      <c r="B68" s="642"/>
      <c r="C68" s="443" t="str">
        <f>C30</f>
        <v>US Avg Elec</v>
      </c>
      <c r="E68" s="477"/>
      <c r="F68" s="477">
        <v>6.5955552706746552</v>
      </c>
      <c r="G68" s="477">
        <v>3.9473487012674627E-2</v>
      </c>
      <c r="H68" s="477"/>
      <c r="I68" s="477">
        <v>9.4945540439189506E-3</v>
      </c>
      <c r="J68" s="477">
        <v>1.1039197981210277E-2</v>
      </c>
      <c r="K68" s="477">
        <v>4.4937252101583157E-3</v>
      </c>
      <c r="L68" s="477">
        <v>1.781243011634933E-2</v>
      </c>
      <c r="M68" s="477">
        <v>3.1166016056036451E-2</v>
      </c>
      <c r="N68" s="477"/>
      <c r="O68" s="443"/>
      <c r="P68" s="477"/>
      <c r="Q68" s="477">
        <v>3.4562292665943038E-2</v>
      </c>
      <c r="R68" s="477">
        <v>1.7824476142232298E-5</v>
      </c>
      <c r="S68" s="477"/>
      <c r="T68" s="477">
        <v>5.8699917058057451E-5</v>
      </c>
      <c r="U68" s="477">
        <v>1.1925152399877208E-4</v>
      </c>
      <c r="V68" s="477">
        <v>4.3971606623242025E-5</v>
      </c>
      <c r="W68" s="477">
        <v>4.4558549189095844E-4</v>
      </c>
      <c r="X68" s="477">
        <v>7.2014557823317806E-6</v>
      </c>
    </row>
    <row r="69" spans="1:24">
      <c r="A69" s="950"/>
      <c r="B69" s="642"/>
      <c r="C69" s="443" t="str">
        <f>C31</f>
        <v>5% Elec Source</v>
      </c>
      <c r="E69" s="477"/>
      <c r="F69" s="477">
        <v>4.6887480877146999</v>
      </c>
      <c r="G69" s="477">
        <v>3.8984962722638024E-2</v>
      </c>
      <c r="H69" s="477"/>
      <c r="I69" s="477">
        <v>7.4933930571246237E-3</v>
      </c>
      <c r="J69" s="477">
        <v>8.6222685997028471E-3</v>
      </c>
      <c r="K69" s="477">
        <v>3.8730892824385666E-3</v>
      </c>
      <c r="L69" s="477">
        <v>1.3425804627630621E-2</v>
      </c>
      <c r="M69" s="477">
        <v>3.1001919819108287E-2</v>
      </c>
      <c r="N69" s="477"/>
      <c r="O69" s="443"/>
      <c r="P69" s="477"/>
      <c r="Q69" s="477">
        <v>2.2972317770325233E-2</v>
      </c>
      <c r="R69" s="477">
        <v>1.4849853243915839E-5</v>
      </c>
      <c r="S69" s="477"/>
      <c r="T69" s="477">
        <v>4.6514765303882965E-5</v>
      </c>
      <c r="U69" s="477">
        <v>1.0453428759965638E-4</v>
      </c>
      <c r="V69" s="477">
        <v>4.0094764315833388E-5</v>
      </c>
      <c r="W69" s="477">
        <v>4.2033876168815431E-4</v>
      </c>
      <c r="X69" s="477">
        <v>6.2094346603176977E-6</v>
      </c>
    </row>
    <row r="70" spans="1:24">
      <c r="A70" s="950"/>
      <c r="B70" s="642"/>
      <c r="C70" s="443" t="str">
        <f>C32</f>
        <v>95% Elec Source</v>
      </c>
      <c r="E70" s="477"/>
      <c r="F70" s="477">
        <v>7.7169899843856617</v>
      </c>
      <c r="G70" s="477">
        <v>3.9566415638453471E-2</v>
      </c>
      <c r="H70" s="477"/>
      <c r="I70" s="477">
        <v>1.0575244449035548E-2</v>
      </c>
      <c r="J70" s="477">
        <v>1.3341760319174082E-2</v>
      </c>
      <c r="K70" s="477">
        <v>5.0649163738714486E-3</v>
      </c>
      <c r="L70" s="477">
        <v>2.1102425568699571E-2</v>
      </c>
      <c r="M70" s="477">
        <v>3.1231518687438113E-2</v>
      </c>
      <c r="N70" s="477"/>
      <c r="O70" s="443"/>
      <c r="P70" s="477"/>
      <c r="Q70" s="477">
        <v>4.1387115405004123E-2</v>
      </c>
      <c r="R70" s="477">
        <v>1.8390305203402734E-5</v>
      </c>
      <c r="S70" s="477"/>
      <c r="T70" s="477">
        <v>6.5280374350233848E-5</v>
      </c>
      <c r="U70" s="477">
        <v>1.3327235188668511E-4</v>
      </c>
      <c r="V70" s="477">
        <v>4.7546086630700418E-5</v>
      </c>
      <c r="W70" s="477">
        <v>4.6452068636885022E-4</v>
      </c>
      <c r="X70" s="477">
        <v>7.5974444774545947E-6</v>
      </c>
    </row>
    <row r="71" spans="1:24">
      <c r="A71" s="950"/>
      <c r="B71" s="642"/>
      <c r="C71" s="485" t="str">
        <f>SUMMARY!$B$15</f>
        <v>US Avg Elec</v>
      </c>
      <c r="D71" s="629"/>
      <c r="E71" s="629"/>
      <c r="F71" s="629">
        <f t="array" ref="F71">SUM(IF($C71=$C68:$C70,F68:F70))</f>
        <v>6.5955552706746552</v>
      </c>
      <c r="G71" s="629">
        <f t="array" ref="G71">SUM(IF($C71=$C68:$C70,G68:G70))</f>
        <v>3.9473487012674627E-2</v>
      </c>
      <c r="H71" s="629"/>
      <c r="I71" s="629">
        <f t="array" ref="I71">SUM(IF($C71=$C68:$C70,I68:I70))</f>
        <v>9.4945540439189506E-3</v>
      </c>
      <c r="J71" s="629">
        <f t="array" ref="J71">SUM(IF($C71=$C68:$C70,J68:J70))</f>
        <v>1.1039197981210277E-2</v>
      </c>
      <c r="K71" s="629">
        <f t="array" ref="K71">SUM(IF($C71=$C68:$C70,K68:K70))</f>
        <v>4.4937252101583157E-3</v>
      </c>
      <c r="L71" s="629">
        <f t="array" ref="L71">SUM(IF($C71=$C68:$C70,L68:L70))</f>
        <v>1.781243011634933E-2</v>
      </c>
      <c r="M71" s="629">
        <f t="array" ref="M71">SUM(IF($C71=$C68:$C70,M68:M70))</f>
        <v>3.1166016056036451E-2</v>
      </c>
      <c r="N71" s="477"/>
      <c r="O71" s="485"/>
      <c r="P71" s="629"/>
      <c r="Q71" s="629">
        <f t="array" ref="Q71">SUM(IF($C71=$C68:$C70,Q68:Q70))</f>
        <v>3.4562292665943038E-2</v>
      </c>
      <c r="R71" s="629">
        <f t="array" ref="R71">SUM(IF($C71=$C68:$C70,R68:R70))</f>
        <v>1.7824476142232298E-5</v>
      </c>
      <c r="S71" s="629"/>
      <c r="T71" s="629">
        <f t="array" ref="T71">SUM(IF($C71=$C68:$C70,T68:T70))</f>
        <v>5.8699917058057451E-5</v>
      </c>
      <c r="U71" s="629">
        <f t="array" ref="U71">SUM(IF($C71=$C68:$C70,U68:U70))</f>
        <v>1.1925152399877208E-4</v>
      </c>
      <c r="V71" s="629">
        <f t="array" ref="V71">SUM(IF($C71=$C68:$C70,V68:V70))</f>
        <v>4.3971606623242025E-5</v>
      </c>
      <c r="W71" s="629">
        <f t="array" ref="W71">SUM(IF($C71=$C68:$C70,W68:W70))</f>
        <v>4.4558549189095844E-4</v>
      </c>
      <c r="X71" s="629">
        <f t="array" ref="X71">SUM(IF($C71=$C68:$C70,X68:X70))</f>
        <v>7.2014557823317806E-6</v>
      </c>
    </row>
    <row r="72" spans="1:24">
      <c r="A72" s="950"/>
      <c r="B72" s="642"/>
      <c r="C72" s="635"/>
      <c r="D72" s="443"/>
      <c r="E72" s="477"/>
      <c r="F72" s="477"/>
      <c r="G72" s="477"/>
      <c r="H72" s="477"/>
      <c r="I72" s="477"/>
      <c r="J72" s="477"/>
      <c r="K72" s="477"/>
      <c r="L72" s="477"/>
      <c r="M72" s="477"/>
      <c r="N72" s="477"/>
      <c r="O72" s="443"/>
      <c r="P72" s="477"/>
      <c r="Q72" s="477"/>
      <c r="R72" s="477"/>
      <c r="S72" s="477"/>
      <c r="T72" s="477"/>
      <c r="U72" s="477"/>
      <c r="V72" s="477"/>
      <c r="W72" s="477"/>
      <c r="X72" s="477"/>
    </row>
    <row r="73" spans="1:24">
      <c r="A73" s="950"/>
      <c r="B73" s="642"/>
      <c r="C73" s="635"/>
      <c r="D73" s="491" t="s">
        <v>529</v>
      </c>
      <c r="E73" s="477"/>
      <c r="F73" s="477"/>
      <c r="G73" s="477"/>
      <c r="H73" s="477"/>
      <c r="I73" s="477"/>
      <c r="J73" s="477"/>
      <c r="K73" s="477"/>
      <c r="L73" s="477"/>
      <c r="M73" s="477"/>
      <c r="N73" s="477"/>
      <c r="O73" s="475" t="s">
        <v>542</v>
      </c>
      <c r="P73" s="477"/>
      <c r="Q73" s="477"/>
      <c r="R73" s="477"/>
      <c r="S73" s="477"/>
      <c r="T73" s="477"/>
      <c r="U73" s="477"/>
      <c r="V73" s="477"/>
      <c r="W73" s="477"/>
      <c r="X73" s="477"/>
    </row>
    <row r="74" spans="1:24">
      <c r="A74" s="950"/>
      <c r="B74" s="642"/>
      <c r="C74" s="443" t="str">
        <f>C68</f>
        <v>US Avg Elec</v>
      </c>
      <c r="E74" s="477"/>
      <c r="F74" s="477">
        <v>5.9160287506209537</v>
      </c>
      <c r="G74" s="477">
        <v>3.4642139117715111E-2</v>
      </c>
      <c r="H74" s="477"/>
      <c r="I74" s="477">
        <v>8.6766511220948313E-3</v>
      </c>
      <c r="J74" s="477">
        <v>9.4136684768136233E-3</v>
      </c>
      <c r="K74" s="477">
        <v>3.8728185171478932E-3</v>
      </c>
      <c r="L74" s="477">
        <v>2.1499051273730276E-2</v>
      </c>
      <c r="M74" s="477">
        <v>3.0952461441055262E-2</v>
      </c>
      <c r="N74" s="477"/>
      <c r="O74" s="443"/>
      <c r="P74" s="477"/>
      <c r="Q74" s="477">
        <v>0.75149216581835632</v>
      </c>
      <c r="R74" s="477">
        <v>9.1583728221890099E-4</v>
      </c>
      <c r="S74" s="477"/>
      <c r="T74" s="477">
        <v>8.4927430994775021E-4</v>
      </c>
      <c r="U74" s="477">
        <v>1.0114337876365568E-3</v>
      </c>
      <c r="V74" s="477">
        <v>3.131238691433164E-4</v>
      </c>
      <c r="W74" s="477">
        <v>1.0530845884485872E-2</v>
      </c>
      <c r="X74" s="477">
        <v>7.7629891651669991E-5</v>
      </c>
    </row>
    <row r="75" spans="1:24">
      <c r="A75" s="950"/>
      <c r="B75" s="642"/>
      <c r="C75" s="443" t="str">
        <f>C69</f>
        <v>5% Elec Source</v>
      </c>
      <c r="E75" s="477"/>
      <c r="F75" s="477">
        <v>4.135746708040017</v>
      </c>
      <c r="G75" s="477">
        <v>3.4186088915988316E-2</v>
      </c>
      <c r="H75" s="477"/>
      <c r="I75" s="477">
        <v>6.8085143001759985E-3</v>
      </c>
      <c r="J75" s="477">
        <v>7.1573972369288726E-3</v>
      </c>
      <c r="K75" s="477">
        <v>3.2945035794994491E-3</v>
      </c>
      <c r="L75" s="477">
        <v>1.7401219925339554E-2</v>
      </c>
      <c r="M75" s="477">
        <v>3.0799168651781304E-2</v>
      </c>
      <c r="N75" s="477"/>
      <c r="O75" s="443"/>
      <c r="P75" s="477"/>
      <c r="Q75" s="477">
        <v>0.16869554843512716</v>
      </c>
      <c r="R75" s="477">
        <v>7.6643461889643061E-4</v>
      </c>
      <c r="S75" s="477"/>
      <c r="T75" s="477">
        <v>2.3726460739010278E-4</v>
      </c>
      <c r="U75" s="477">
        <v>2.7224115808199671E-4</v>
      </c>
      <c r="V75" s="477">
        <v>1.1840443934133173E-4</v>
      </c>
      <c r="W75" s="477">
        <v>9.1865966122911327E-3</v>
      </c>
      <c r="X75" s="477">
        <v>2.7315783331460401E-5</v>
      </c>
    </row>
    <row r="76" spans="1:24">
      <c r="A76" s="950"/>
      <c r="B76" s="642"/>
      <c r="C76" s="443" t="str">
        <f>C70</f>
        <v>95% Elec Source</v>
      </c>
      <c r="E76" s="477"/>
      <c r="F76" s="477">
        <v>6.9629887605563141</v>
      </c>
      <c r="G76" s="477">
        <v>3.4728890316760075E-2</v>
      </c>
      <c r="H76" s="477"/>
      <c r="I76" s="477">
        <v>9.685504964182667E-3</v>
      </c>
      <c r="J76" s="477">
        <v>1.1563174868632283E-2</v>
      </c>
      <c r="K76" s="477">
        <v>4.404989451303686E-3</v>
      </c>
      <c r="L76" s="477">
        <v>2.4572449343488977E-2</v>
      </c>
      <c r="M76" s="477">
        <v>3.1013651650901336E-2</v>
      </c>
      <c r="N76" s="477"/>
      <c r="O76" s="443"/>
      <c r="P76" s="477"/>
      <c r="Q76" s="477">
        <v>1.0944034380769214</v>
      </c>
      <c r="R76" s="477">
        <v>9.4425627495591338E-4</v>
      </c>
      <c r="S76" s="477"/>
      <c r="T76" s="477">
        <v>1.1797847561329966E-3</v>
      </c>
      <c r="U76" s="477">
        <v>1.7156483592053991E-3</v>
      </c>
      <c r="V76" s="477">
        <v>4.9265681305926158E-4</v>
      </c>
      <c r="W76" s="477">
        <v>1.1539040570680727E-2</v>
      </c>
      <c r="X76" s="477">
        <v>9.7713982290875028E-5</v>
      </c>
    </row>
    <row r="77" spans="1:24">
      <c r="A77" s="950"/>
      <c r="B77" s="642"/>
      <c r="C77" s="485" t="str">
        <f>SUMMARY!$B$15</f>
        <v>US Avg Elec</v>
      </c>
      <c r="D77" s="629"/>
      <c r="E77" s="629"/>
      <c r="F77" s="629">
        <f t="array" ref="F77">SUM(IF($C77=$C74:$C76,F74:F76))</f>
        <v>5.9160287506209537</v>
      </c>
      <c r="G77" s="629">
        <f t="array" ref="G77">SUM(IF($C77=$C74:$C76,G74:G76))</f>
        <v>3.4642139117715111E-2</v>
      </c>
      <c r="H77" s="629"/>
      <c r="I77" s="629">
        <f t="array" ref="I77">SUM(IF($C77=$C74:$C76,I74:I76))</f>
        <v>8.6766511220948313E-3</v>
      </c>
      <c r="J77" s="629">
        <f t="array" ref="J77">SUM(IF($C77=$C74:$C76,J74:J76))</f>
        <v>9.4136684768136233E-3</v>
      </c>
      <c r="K77" s="629">
        <f t="array" ref="K77">SUM(IF($C77=$C74:$C76,K74:K76))</f>
        <v>3.8728185171478932E-3</v>
      </c>
      <c r="L77" s="629">
        <f t="array" ref="L77">SUM(IF($C77=$C74:$C76,L74:L76))</f>
        <v>2.1499051273730276E-2</v>
      </c>
      <c r="M77" s="629">
        <f t="array" ref="M77">SUM(IF($C77=$C74:$C76,M74:M76))</f>
        <v>3.0952461441055262E-2</v>
      </c>
      <c r="N77" s="477"/>
      <c r="O77" s="485"/>
      <c r="P77" s="629"/>
      <c r="Q77" s="629">
        <f t="array" ref="Q77">SUM(IF($C77=$C74:$C76,Q74:Q76))</f>
        <v>0.75149216581835632</v>
      </c>
      <c r="R77" s="629">
        <f t="array" ref="R77">SUM(IF($C77=$C74:$C76,R74:R76))</f>
        <v>9.1583728221890099E-4</v>
      </c>
      <c r="S77" s="629"/>
      <c r="T77" s="629">
        <f t="array" ref="T77">SUM(IF($C77=$C74:$C76,T74:T76))</f>
        <v>8.4927430994775021E-4</v>
      </c>
      <c r="U77" s="629">
        <f t="array" ref="U77">SUM(IF($C77=$C74:$C76,U74:U76))</f>
        <v>1.0114337876365568E-3</v>
      </c>
      <c r="V77" s="629">
        <f t="array" ref="V77">SUM(IF($C77=$C74:$C76,V74:V76))</f>
        <v>3.131238691433164E-4</v>
      </c>
      <c r="W77" s="629">
        <f t="array" ref="W77">SUM(IF($C77=$C74:$C76,W74:W76))</f>
        <v>1.0530845884485872E-2</v>
      </c>
      <c r="X77" s="629">
        <f t="array" ref="X77">SUM(IF($C77=$C74:$C76,X74:X76))</f>
        <v>7.7629891651669991E-5</v>
      </c>
    </row>
    <row r="78" spans="1:24">
      <c r="A78" s="950"/>
      <c r="B78" s="642"/>
      <c r="C78" s="635"/>
      <c r="D78" s="443"/>
      <c r="E78" s="477"/>
      <c r="F78" s="477"/>
      <c r="G78" s="477"/>
      <c r="H78" s="477"/>
      <c r="I78" s="477"/>
      <c r="J78" s="477"/>
      <c r="K78" s="477"/>
      <c r="L78" s="477"/>
      <c r="M78" s="477"/>
      <c r="N78" s="477"/>
      <c r="O78" s="443"/>
      <c r="P78" s="477"/>
      <c r="Q78" s="477"/>
      <c r="R78" s="477"/>
      <c r="S78" s="477"/>
      <c r="T78" s="477"/>
      <c r="U78" s="477"/>
      <c r="V78" s="477"/>
      <c r="W78" s="477"/>
      <c r="X78" s="477"/>
    </row>
    <row r="79" spans="1:24">
      <c r="A79" s="950"/>
      <c r="B79" s="642"/>
      <c r="C79" s="635"/>
      <c r="D79" s="491" t="s">
        <v>531</v>
      </c>
      <c r="E79" s="477"/>
      <c r="F79" s="477"/>
      <c r="G79" s="477"/>
      <c r="H79" s="477"/>
      <c r="I79" s="477"/>
      <c r="J79" s="477"/>
      <c r="K79" s="477"/>
      <c r="L79" s="477"/>
      <c r="M79" s="477"/>
      <c r="N79" s="477"/>
      <c r="O79" s="475" t="s">
        <v>543</v>
      </c>
      <c r="P79" s="477"/>
      <c r="Q79" s="477"/>
      <c r="R79" s="477"/>
      <c r="S79" s="477"/>
      <c r="T79" s="477"/>
      <c r="U79" s="477"/>
      <c r="V79" s="477"/>
      <c r="W79" s="477"/>
      <c r="X79" s="477"/>
    </row>
    <row r="80" spans="1:24">
      <c r="A80" s="950"/>
      <c r="B80" s="642"/>
      <c r="C80" s="443" t="str">
        <f>C74</f>
        <v>US Avg Elec</v>
      </c>
      <c r="E80" s="477"/>
      <c r="F80" s="477">
        <v>5.9994404717076106</v>
      </c>
      <c r="G80" s="477">
        <v>3.5250735441191783E-2</v>
      </c>
      <c r="H80" s="477"/>
      <c r="I80" s="477">
        <v>8.7662477915041014E-3</v>
      </c>
      <c r="J80" s="477">
        <v>9.5588408951583891E-3</v>
      </c>
      <c r="K80" s="477">
        <v>3.9312181705575648E-3</v>
      </c>
      <c r="L80" s="477">
        <v>2.1814105942043409E-2</v>
      </c>
      <c r="M80" s="477">
        <v>3.0964455976453576E-2</v>
      </c>
      <c r="N80" s="477"/>
      <c r="O80" s="443"/>
      <c r="P80" s="477"/>
      <c r="Q80" s="159">
        <v>0.35378812833400031</v>
      </c>
      <c r="R80" s="159">
        <v>1.0262689627443137E-4</v>
      </c>
      <c r="S80" s="159"/>
      <c r="T80" s="159">
        <v>4.144700856620597E-4</v>
      </c>
      <c r="U80" s="159">
        <v>5.1421303892878979E-4</v>
      </c>
      <c r="V80" s="159">
        <v>1.6968841400270555E-4</v>
      </c>
      <c r="W80" s="159">
        <v>2.2263811809128454E-3</v>
      </c>
      <c r="X80" s="159">
        <v>3.3881020321794774E-5</v>
      </c>
    </row>
    <row r="81" spans="1:24">
      <c r="A81" s="950"/>
      <c r="B81" s="642"/>
      <c r="C81" s="443" t="str">
        <f>C75</f>
        <v>5% Elec Source</v>
      </c>
      <c r="E81" s="477"/>
      <c r="F81" s="477">
        <v>4.1934486772100552</v>
      </c>
      <c r="G81" s="477">
        <v>3.4788092316168931E-2</v>
      </c>
      <c r="H81" s="477"/>
      <c r="I81" s="477">
        <v>6.8711041280556948E-3</v>
      </c>
      <c r="J81" s="477">
        <v>7.2699518059692551E-3</v>
      </c>
      <c r="K81" s="477">
        <v>3.3443109629400138E-3</v>
      </c>
      <c r="L81" s="477">
        <v>1.7657069559109978E-2</v>
      </c>
      <c r="M81" s="477">
        <v>3.080894842596962E-2</v>
      </c>
      <c r="N81" s="477"/>
      <c r="O81" s="443"/>
      <c r="P81" s="477"/>
      <c r="Q81" s="159">
        <v>0.10247391778703104</v>
      </c>
      <c r="R81" s="159">
        <v>3.8201294503383325E-5</v>
      </c>
      <c r="S81" s="159"/>
      <c r="T81" s="159">
        <v>1.505586101881123E-4</v>
      </c>
      <c r="U81" s="159">
        <v>1.9545815700597679E-4</v>
      </c>
      <c r="V81" s="159">
        <v>8.5721431672317549E-5</v>
      </c>
      <c r="W81" s="159">
        <v>1.6472646179543178E-3</v>
      </c>
      <c r="X81" s="159">
        <v>1.2188524416392372E-5</v>
      </c>
    </row>
    <row r="82" spans="1:24">
      <c r="A82" s="950"/>
      <c r="B82" s="642"/>
      <c r="C82" s="443" t="str">
        <f>C76</f>
        <v>95% Elec Source</v>
      </c>
      <c r="E82" s="477"/>
      <c r="F82" s="477">
        <v>7.0615295492167993</v>
      </c>
      <c r="G82" s="477">
        <v>3.5338740767704054E-2</v>
      </c>
      <c r="H82" s="477"/>
      <c r="I82" s="477">
        <v>9.7896861786271917E-3</v>
      </c>
      <c r="J82" s="477">
        <v>1.1739421687493222E-2</v>
      </c>
      <c r="K82" s="477">
        <v>4.4713112392149468E-3</v>
      </c>
      <c r="L82" s="477">
        <v>2.4931908143749903E-2</v>
      </c>
      <c r="M82" s="477">
        <v>3.1026530256988354E-2</v>
      </c>
      <c r="N82" s="477"/>
      <c r="O82" s="443"/>
      <c r="P82" s="477"/>
      <c r="Q82" s="159">
        <v>0.50165765008061591</v>
      </c>
      <c r="R82" s="159">
        <v>1.1488178541232349E-4</v>
      </c>
      <c r="S82" s="159"/>
      <c r="T82" s="159">
        <v>5.56993044277189E-4</v>
      </c>
      <c r="U82" s="159">
        <v>8.1788467321323131E-4</v>
      </c>
      <c r="V82" s="159">
        <v>2.4710667019209955E-4</v>
      </c>
      <c r="W82" s="159">
        <v>2.6607219405755788E-3</v>
      </c>
      <c r="X82" s="159">
        <v>4.2540101661545999E-5</v>
      </c>
    </row>
    <row r="83" spans="1:24">
      <c r="A83" s="950"/>
      <c r="B83" s="642"/>
      <c r="C83" s="485" t="str">
        <f>SUMMARY!$B$15</f>
        <v>US Avg Elec</v>
      </c>
      <c r="D83" s="629"/>
      <c r="E83" s="629"/>
      <c r="F83" s="629">
        <f t="array" ref="F83">SUM(IF($C83=$C80:$C82,F80:F82))</f>
        <v>5.9994404717076106</v>
      </c>
      <c r="G83" s="629">
        <f t="array" ref="G83">SUM(IF($C83=$C80:$C82,G80:G82))</f>
        <v>3.5250735441191783E-2</v>
      </c>
      <c r="H83" s="629"/>
      <c r="I83" s="629">
        <f t="array" ref="I83">SUM(IF($C83=$C80:$C82,I80:I82))</f>
        <v>8.7662477915041014E-3</v>
      </c>
      <c r="J83" s="629">
        <f t="array" ref="J83">SUM(IF($C83=$C80:$C82,J80:J82))</f>
        <v>9.5588408951583891E-3</v>
      </c>
      <c r="K83" s="629">
        <f t="array" ref="K83">SUM(IF($C83=$C80:$C82,K80:K82))</f>
        <v>3.9312181705575648E-3</v>
      </c>
      <c r="L83" s="629">
        <f t="array" ref="L83">SUM(IF($C83=$C80:$C82,L80:L82))</f>
        <v>2.1814105942043409E-2</v>
      </c>
      <c r="M83" s="629">
        <f t="array" ref="M83">SUM(IF($C83=$C80:$C82,M80:M82))</f>
        <v>3.0964455976453576E-2</v>
      </c>
      <c r="N83" s="477"/>
      <c r="O83" s="485"/>
      <c r="P83" s="629"/>
      <c r="Q83" s="629">
        <f t="array" ref="Q83">SUM(IF($C83=$C80:$C82,Q80:Q82))</f>
        <v>0.35378812833400031</v>
      </c>
      <c r="R83" s="629">
        <f t="array" ref="R83">SUM(IF($C83=$C80:$C82,R80:R82))</f>
        <v>1.0262689627443137E-4</v>
      </c>
      <c r="S83" s="629"/>
      <c r="T83" s="629">
        <f t="array" ref="T83">SUM(IF($C83=$C80:$C82,T80:T82))</f>
        <v>4.144700856620597E-4</v>
      </c>
      <c r="U83" s="629">
        <f t="array" ref="U83">SUM(IF($C83=$C80:$C82,U80:U82))</f>
        <v>5.1421303892878979E-4</v>
      </c>
      <c r="V83" s="629">
        <f t="array" ref="V83">SUM(IF($C83=$C80:$C82,V80:V82))</f>
        <v>1.6968841400270555E-4</v>
      </c>
      <c r="W83" s="629">
        <f t="array" ref="W83">SUM(IF($C83=$C80:$C82,W80:W82))</f>
        <v>2.2263811809128454E-3</v>
      </c>
      <c r="X83" s="629">
        <f t="array" ref="X83">SUM(IF($C83=$C80:$C82,X80:X82))</f>
        <v>3.3881020321794774E-5</v>
      </c>
    </row>
    <row r="84" spans="1:24">
      <c r="A84" s="950"/>
      <c r="B84" s="642"/>
      <c r="C84" s="635"/>
      <c r="D84" s="443"/>
      <c r="E84" s="477"/>
      <c r="F84" s="477"/>
      <c r="G84" s="477"/>
      <c r="H84" s="477"/>
      <c r="I84" s="477"/>
      <c r="J84" s="477"/>
      <c r="K84" s="477"/>
      <c r="L84" s="477"/>
      <c r="M84" s="477"/>
      <c r="N84" s="477"/>
      <c r="O84" s="443"/>
      <c r="P84" s="477"/>
      <c r="Q84" s="159"/>
      <c r="R84" s="159"/>
      <c r="S84" s="159"/>
      <c r="T84" s="159"/>
      <c r="U84" s="159"/>
      <c r="V84" s="159"/>
      <c r="W84" s="159"/>
      <c r="X84" s="159"/>
    </row>
    <row r="85" spans="1:24">
      <c r="A85" s="950"/>
      <c r="B85" s="642"/>
      <c r="C85" s="635"/>
      <c r="D85" s="491" t="s">
        <v>535</v>
      </c>
      <c r="E85" s="477"/>
      <c r="F85" s="477"/>
      <c r="G85" s="477"/>
      <c r="H85" s="477"/>
      <c r="I85" s="477"/>
      <c r="J85" s="477"/>
      <c r="K85" s="477"/>
      <c r="L85" s="477"/>
      <c r="M85" s="477"/>
      <c r="N85" s="477"/>
      <c r="O85" s="475" t="s">
        <v>536</v>
      </c>
      <c r="P85" s="477"/>
      <c r="Q85" s="159"/>
      <c r="R85" s="159"/>
      <c r="S85" s="159"/>
      <c r="T85" s="159"/>
      <c r="U85" s="159"/>
      <c r="V85" s="159"/>
      <c r="W85" s="159"/>
      <c r="X85" s="159"/>
    </row>
    <row r="86" spans="1:24">
      <c r="A86" s="950"/>
      <c r="B86" s="642"/>
      <c r="C86" s="443" t="str">
        <f>C80</f>
        <v>US Avg Elec</v>
      </c>
      <c r="E86" s="477"/>
      <c r="F86" s="477">
        <f>F80</f>
        <v>5.9994404717076106</v>
      </c>
      <c r="G86" s="477">
        <f>G80</f>
        <v>3.5250735441191783E-2</v>
      </c>
      <c r="H86" s="477"/>
      <c r="I86" s="477">
        <f>I80</f>
        <v>8.7662477915041014E-3</v>
      </c>
      <c r="J86" s="477">
        <f t="shared" ref="J86:M86" si="49">J80</f>
        <v>9.5588408951583891E-3</v>
      </c>
      <c r="K86" s="477">
        <f t="shared" si="49"/>
        <v>3.9312181705575648E-3</v>
      </c>
      <c r="L86" s="477">
        <f t="shared" si="49"/>
        <v>2.1814105942043409E-2</v>
      </c>
      <c r="M86" s="477">
        <f t="shared" si="49"/>
        <v>3.0964455976453576E-2</v>
      </c>
      <c r="N86" s="477"/>
      <c r="O86" s="443"/>
      <c r="P86" s="477"/>
      <c r="Q86" s="477">
        <f t="shared" ref="Q86:R88" si="50">Q80*batsizePHEV20/batsizeHEV_Liion</f>
        <v>0.790496867327104</v>
      </c>
      <c r="R86" s="477">
        <f t="shared" si="50"/>
        <v>2.2930741172822196E-4</v>
      </c>
      <c r="S86" s="477"/>
      <c r="T86" s="477">
        <f t="shared" ref="T86:X88" si="51">T80*batsizePHEV20/batsizeHEV_Liion</f>
        <v>9.2608337611414283E-4</v>
      </c>
      <c r="U86" s="477">
        <f t="shared" si="51"/>
        <v>1.1489469653097287E-3</v>
      </c>
      <c r="V86" s="477">
        <f t="shared" si="51"/>
        <v>3.7914827815875091E-4</v>
      </c>
      <c r="W86" s="477">
        <f t="shared" si="51"/>
        <v>4.9745800043525237E-3</v>
      </c>
      <c r="X86" s="477">
        <f t="shared" si="51"/>
        <v>7.5703050162666491E-5</v>
      </c>
    </row>
    <row r="87" spans="1:24">
      <c r="A87" s="950"/>
      <c r="B87" s="642"/>
      <c r="C87" s="443" t="str">
        <f>C81</f>
        <v>5% Elec Source</v>
      </c>
      <c r="E87" s="477"/>
      <c r="F87" s="477">
        <f t="shared" ref="F87:G87" si="52">F81</f>
        <v>4.1934486772100552</v>
      </c>
      <c r="G87" s="477">
        <f t="shared" si="52"/>
        <v>3.4788092316168931E-2</v>
      </c>
      <c r="H87" s="477"/>
      <c r="I87" s="477">
        <f t="shared" ref="I87:M87" si="53">I81</f>
        <v>6.8711041280556948E-3</v>
      </c>
      <c r="J87" s="477">
        <f t="shared" si="53"/>
        <v>7.2699518059692551E-3</v>
      </c>
      <c r="K87" s="477">
        <f t="shared" si="53"/>
        <v>3.3443109629400138E-3</v>
      </c>
      <c r="L87" s="477">
        <f t="shared" si="53"/>
        <v>1.7657069559109978E-2</v>
      </c>
      <c r="M87" s="477">
        <f t="shared" si="53"/>
        <v>3.080894842596962E-2</v>
      </c>
      <c r="N87" s="477"/>
      <c r="O87" s="443"/>
      <c r="P87" s="477"/>
      <c r="Q87" s="477">
        <f t="shared" si="50"/>
        <v>0.22896559976401654</v>
      </c>
      <c r="R87" s="477">
        <f t="shared" si="50"/>
        <v>8.5356181325156401E-5</v>
      </c>
      <c r="S87" s="477"/>
      <c r="T87" s="477">
        <f t="shared" si="51"/>
        <v>3.3640504067583067E-4</v>
      </c>
      <c r="U87" s="477">
        <f t="shared" si="51"/>
        <v>4.3672765825790151E-4</v>
      </c>
      <c r="V87" s="477">
        <f t="shared" si="51"/>
        <v>1.9153419171767384E-4</v>
      </c>
      <c r="W87" s="477">
        <f t="shared" si="51"/>
        <v>3.6806139490422377E-3</v>
      </c>
      <c r="X87" s="477">
        <f t="shared" si="51"/>
        <v>2.7233786543006878E-5</v>
      </c>
    </row>
    <row r="88" spans="1:24">
      <c r="A88" s="950"/>
      <c r="B88" s="642"/>
      <c r="C88" s="443" t="str">
        <f>C82</f>
        <v>95% Elec Source</v>
      </c>
      <c r="E88" s="477"/>
      <c r="F88" s="477">
        <f t="shared" ref="F88:G88" si="54">F82</f>
        <v>7.0615295492167993</v>
      </c>
      <c r="G88" s="477">
        <f t="shared" si="54"/>
        <v>3.5338740767704054E-2</v>
      </c>
      <c r="H88" s="477"/>
      <c r="I88" s="477">
        <f t="shared" ref="I88:L88" si="55">I82</f>
        <v>9.7896861786271917E-3</v>
      </c>
      <c r="J88" s="477">
        <f t="shared" si="55"/>
        <v>1.1739421687493222E-2</v>
      </c>
      <c r="K88" s="477">
        <f t="shared" si="55"/>
        <v>4.4713112392149468E-3</v>
      </c>
      <c r="L88" s="477">
        <f t="shared" si="55"/>
        <v>2.4931908143749903E-2</v>
      </c>
      <c r="M88" s="477">
        <f>M82</f>
        <v>3.1026530256988354E-2</v>
      </c>
      <c r="N88" s="477"/>
      <c r="O88" s="443"/>
      <c r="P88" s="477"/>
      <c r="Q88" s="477">
        <f t="shared" si="50"/>
        <v>1.1208934644777695</v>
      </c>
      <c r="R88" s="477">
        <f t="shared" si="50"/>
        <v>2.5668948223059632E-4</v>
      </c>
      <c r="S88" s="477"/>
      <c r="T88" s="477">
        <f t="shared" si="51"/>
        <v>1.2445337233261545E-3</v>
      </c>
      <c r="U88" s="477">
        <f t="shared" si="51"/>
        <v>1.8274645761983787E-3</v>
      </c>
      <c r="V88" s="477">
        <f t="shared" si="51"/>
        <v>5.5213002652840552E-4</v>
      </c>
      <c r="W88" s="477">
        <f t="shared" si="51"/>
        <v>5.9450620029506346E-3</v>
      </c>
      <c r="X88" s="477">
        <f t="shared" si="51"/>
        <v>9.5050722186702861E-5</v>
      </c>
    </row>
    <row r="89" spans="1:24">
      <c r="A89" s="950"/>
      <c r="B89" s="642"/>
      <c r="C89" s="485" t="str">
        <f>SUMMARY!$B$15</f>
        <v>US Avg Elec</v>
      </c>
      <c r="D89" s="629"/>
      <c r="E89" s="629"/>
      <c r="F89" s="629">
        <f t="array" ref="F89">SUM(IF($C89=$C86:$C88,F86:F88))</f>
        <v>5.9994404717076106</v>
      </c>
      <c r="G89" s="629">
        <f t="array" ref="G89">SUM(IF($C89=$C86:$C88,G86:G88))</f>
        <v>3.5250735441191783E-2</v>
      </c>
      <c r="H89" s="629"/>
      <c r="I89" s="629">
        <f t="array" ref="I89">SUM(IF($C89=$C86:$C88,I86:I88))</f>
        <v>8.7662477915041014E-3</v>
      </c>
      <c r="J89" s="629">
        <f t="array" ref="J89">SUM(IF($C89=$C86:$C88,J86:J88))</f>
        <v>9.5588408951583891E-3</v>
      </c>
      <c r="K89" s="629">
        <f t="array" ref="K89">SUM(IF($C89=$C86:$C88,K86:K88))</f>
        <v>3.9312181705575648E-3</v>
      </c>
      <c r="L89" s="629">
        <f t="array" ref="L89">SUM(IF($C89=$C86:$C88,L86:L88))</f>
        <v>2.1814105942043409E-2</v>
      </c>
      <c r="M89" s="629">
        <f t="array" ref="M89">SUM(IF($C89=$C86:$C88,M86:M88))</f>
        <v>3.0964455976453576E-2</v>
      </c>
      <c r="N89" s="477"/>
      <c r="O89" s="485"/>
      <c r="P89" s="629"/>
      <c r="Q89" s="629">
        <f t="array" ref="Q89">SUM(IF($C89=$C86:$C88,Q86:Q88))</f>
        <v>0.790496867327104</v>
      </c>
      <c r="R89" s="629">
        <f t="array" ref="R89">SUM(IF($C89=$C86:$C88,R86:R88))</f>
        <v>2.2930741172822196E-4</v>
      </c>
      <c r="S89" s="629"/>
      <c r="T89" s="629">
        <f t="array" ref="T89">SUM(IF($C89=$C86:$C88,T86:T88))</f>
        <v>9.2608337611414283E-4</v>
      </c>
      <c r="U89" s="629">
        <f t="array" ref="U89">SUM(IF($C89=$C86:$C88,U86:U88))</f>
        <v>1.1489469653097287E-3</v>
      </c>
      <c r="V89" s="629">
        <f t="array" ref="V89">SUM(IF($C89=$C86:$C88,V86:V88))</f>
        <v>3.7914827815875091E-4</v>
      </c>
      <c r="W89" s="629">
        <f t="array" ref="W89">SUM(IF($C89=$C86:$C88,W86:W88))</f>
        <v>4.9745800043525237E-3</v>
      </c>
      <c r="X89" s="629">
        <f t="array" ref="X89">SUM(IF($C89=$C86:$C88,X86:X88))</f>
        <v>7.5703050162666491E-5</v>
      </c>
    </row>
    <row r="90" spans="1:24">
      <c r="A90" s="950"/>
      <c r="B90" s="642"/>
      <c r="C90" s="635"/>
      <c r="D90" s="443"/>
      <c r="E90" s="477"/>
      <c r="F90" s="477"/>
      <c r="G90" s="477"/>
      <c r="H90" s="477"/>
      <c r="I90" s="477"/>
      <c r="J90" s="477"/>
      <c r="K90" s="477"/>
      <c r="L90" s="477"/>
      <c r="M90" s="477"/>
      <c r="N90" s="477"/>
      <c r="O90" s="443"/>
      <c r="P90" s="477"/>
      <c r="Q90" s="477"/>
      <c r="R90" s="477"/>
      <c r="S90" s="477"/>
      <c r="T90" s="477"/>
      <c r="U90" s="477"/>
      <c r="V90" s="477"/>
      <c r="W90" s="477"/>
      <c r="X90" s="477"/>
    </row>
    <row r="91" spans="1:24">
      <c r="A91" s="950"/>
      <c r="B91" s="642"/>
      <c r="C91" s="635"/>
      <c r="D91" s="491" t="s">
        <v>546</v>
      </c>
      <c r="E91" s="477"/>
      <c r="F91" s="477"/>
      <c r="G91" s="477"/>
      <c r="H91" s="477"/>
      <c r="I91" s="477"/>
      <c r="J91" s="477"/>
      <c r="K91" s="477"/>
      <c r="L91" s="477"/>
      <c r="M91" s="477"/>
      <c r="N91" s="477"/>
      <c r="O91" s="475" t="s">
        <v>547</v>
      </c>
      <c r="P91" s="477"/>
      <c r="Q91" s="477"/>
      <c r="R91" s="477"/>
      <c r="S91" s="477"/>
      <c r="T91" s="477"/>
      <c r="U91" s="477"/>
      <c r="V91" s="477"/>
      <c r="W91" s="477"/>
      <c r="X91" s="477"/>
    </row>
    <row r="92" spans="1:24">
      <c r="A92" s="950"/>
      <c r="B92" s="642"/>
      <c r="C92" s="443" t="str">
        <f>C86</f>
        <v>US Avg Elec</v>
      </c>
      <c r="E92" s="477"/>
      <c r="F92" s="477">
        <f>F86</f>
        <v>5.9994404717076106</v>
      </c>
      <c r="G92" s="477">
        <f>G86</f>
        <v>3.5250735441191783E-2</v>
      </c>
      <c r="H92" s="477"/>
      <c r="I92" s="477">
        <f>I86</f>
        <v>8.7662477915041014E-3</v>
      </c>
      <c r="J92" s="477">
        <f>J86</f>
        <v>9.5588408951583891E-3</v>
      </c>
      <c r="K92" s="477">
        <f>K86</f>
        <v>3.9312181705575648E-3</v>
      </c>
      <c r="L92" s="477">
        <f>L86</f>
        <v>2.1814105942043409E-2</v>
      </c>
      <c r="M92" s="477">
        <f>M86</f>
        <v>3.0964455976453576E-2</v>
      </c>
      <c r="N92" s="477"/>
      <c r="O92" s="443"/>
      <c r="P92" s="477"/>
      <c r="Q92" s="477">
        <f t="shared" ref="Q92:R94" si="56">Q80*batsizePHEV60/batsizeHEV_Liion</f>
        <v>2.7112188729743076</v>
      </c>
      <c r="R92" s="477">
        <f t="shared" si="56"/>
        <v>7.8647064661065602E-4</v>
      </c>
      <c r="S92" s="477"/>
      <c r="T92" s="477">
        <f t="shared" ref="T92:X94" si="57">T80*batsizePHEV60/batsizeHEV_Liion</f>
        <v>3.1762488012864751E-3</v>
      </c>
      <c r="U92" s="477">
        <f t="shared" si="57"/>
        <v>3.9406186477716947E-3</v>
      </c>
      <c r="V92" s="477">
        <f t="shared" si="57"/>
        <v>1.3003896788048312E-3</v>
      </c>
      <c r="W92" s="477">
        <f t="shared" si="57"/>
        <v>1.7061642810205148E-2</v>
      </c>
      <c r="X92" s="477">
        <f t="shared" si="57"/>
        <v>2.5964370869266406E-4</v>
      </c>
    </row>
    <row r="93" spans="1:24">
      <c r="A93" s="950"/>
      <c r="B93" s="642"/>
      <c r="C93" s="443" t="str">
        <f>C87</f>
        <v>5% Elec Source</v>
      </c>
      <c r="E93" s="477"/>
      <c r="F93" s="477">
        <f t="shared" ref="F93:G93" si="58">F87</f>
        <v>4.1934486772100552</v>
      </c>
      <c r="G93" s="477">
        <f t="shared" si="58"/>
        <v>3.4788092316168931E-2</v>
      </c>
      <c r="H93" s="477"/>
      <c r="I93" s="477">
        <f t="shared" ref="I93:M93" si="59">I87</f>
        <v>6.8711041280556948E-3</v>
      </c>
      <c r="J93" s="477">
        <f t="shared" si="59"/>
        <v>7.2699518059692551E-3</v>
      </c>
      <c r="K93" s="477">
        <f t="shared" si="59"/>
        <v>3.3443109629400138E-3</v>
      </c>
      <c r="L93" s="477">
        <f t="shared" si="59"/>
        <v>1.7657069559109978E-2</v>
      </c>
      <c r="M93" s="477">
        <f t="shared" si="59"/>
        <v>3.080894842596962E-2</v>
      </c>
      <c r="N93" s="477"/>
      <c r="O93" s="443"/>
      <c r="P93" s="477"/>
      <c r="Q93" s="477">
        <f t="shared" si="56"/>
        <v>0.78529831173285236</v>
      </c>
      <c r="R93" s="477">
        <f t="shared" si="56"/>
        <v>2.9275168479323135E-4</v>
      </c>
      <c r="S93" s="477"/>
      <c r="T93" s="477">
        <f t="shared" si="57"/>
        <v>1.1537903980922322E-3</v>
      </c>
      <c r="U93" s="477">
        <f t="shared" si="57"/>
        <v>1.4978734494196749E-3</v>
      </c>
      <c r="V93" s="477">
        <f t="shared" si="57"/>
        <v>6.5691736029354351E-4</v>
      </c>
      <c r="W93" s="477">
        <f t="shared" si="57"/>
        <v>1.2623642692623812E-2</v>
      </c>
      <c r="X93" s="477">
        <f t="shared" si="57"/>
        <v>9.3405501159817575E-5</v>
      </c>
    </row>
    <row r="94" spans="1:24">
      <c r="A94" s="950"/>
      <c r="B94" s="642"/>
      <c r="C94" s="443" t="str">
        <f>C88</f>
        <v>95% Elec Source</v>
      </c>
      <c r="E94" s="477"/>
      <c r="F94" s="477">
        <f t="shared" ref="F94:G94" si="60">F88</f>
        <v>7.0615295492167993</v>
      </c>
      <c r="G94" s="477">
        <f t="shared" si="60"/>
        <v>3.5338740767704054E-2</v>
      </c>
      <c r="H94" s="477"/>
      <c r="I94" s="477">
        <f t="shared" ref="I94:M94" si="61">I88</f>
        <v>9.7896861786271917E-3</v>
      </c>
      <c r="J94" s="477">
        <f t="shared" si="61"/>
        <v>1.1739421687493222E-2</v>
      </c>
      <c r="K94" s="477">
        <f t="shared" si="61"/>
        <v>4.4713112392149468E-3</v>
      </c>
      <c r="L94" s="477">
        <f t="shared" si="61"/>
        <v>2.4931908143749903E-2</v>
      </c>
      <c r="M94" s="477">
        <f t="shared" si="61"/>
        <v>3.1026530256988354E-2</v>
      </c>
      <c r="N94" s="477"/>
      <c r="O94" s="443"/>
      <c r="P94" s="477"/>
      <c r="Q94" s="477">
        <f t="shared" si="56"/>
        <v>3.8444017188346007</v>
      </c>
      <c r="R94" s="477">
        <f t="shared" si="56"/>
        <v>8.8038472697655687E-4</v>
      </c>
      <c r="S94" s="477"/>
      <c r="T94" s="477">
        <f t="shared" si="57"/>
        <v>4.2684588114106029E-3</v>
      </c>
      <c r="U94" s="477">
        <f t="shared" si="57"/>
        <v>6.2677749317769597E-3</v>
      </c>
      <c r="V94" s="477">
        <f t="shared" si="57"/>
        <v>1.8936765092077072E-3</v>
      </c>
      <c r="W94" s="477">
        <f t="shared" si="57"/>
        <v>2.0390168474548165E-2</v>
      </c>
      <c r="X94" s="477">
        <f t="shared" si="57"/>
        <v>3.2600168645044117E-4</v>
      </c>
    </row>
    <row r="95" spans="1:24">
      <c r="A95" s="950"/>
      <c r="B95" s="642"/>
      <c r="C95" s="485" t="str">
        <f>SUMMARY!$B$15</f>
        <v>US Avg Elec</v>
      </c>
      <c r="D95" s="629"/>
      <c r="E95" s="629"/>
      <c r="F95" s="629">
        <f t="array" ref="F95">SUM(IF($C95=$C92:$C94,F92:F94))</f>
        <v>5.9994404717076106</v>
      </c>
      <c r="G95" s="629">
        <f t="array" ref="G95">SUM(IF($C95=$C92:$C94,G92:G94))</f>
        <v>3.5250735441191783E-2</v>
      </c>
      <c r="H95" s="629"/>
      <c r="I95" s="629">
        <f t="array" ref="I95">SUM(IF($C95=$C92:$C94,I92:I94))</f>
        <v>8.7662477915041014E-3</v>
      </c>
      <c r="J95" s="629">
        <f t="array" ref="J95">SUM(IF($C95=$C92:$C94,J92:J94))</f>
        <v>9.5588408951583891E-3</v>
      </c>
      <c r="K95" s="629">
        <f t="array" ref="K95">SUM(IF($C95=$C92:$C94,K92:K94))</f>
        <v>3.9312181705575648E-3</v>
      </c>
      <c r="L95" s="629">
        <f t="array" ref="L95">SUM(IF($C95=$C92:$C94,L92:L94))</f>
        <v>2.1814105942043409E-2</v>
      </c>
      <c r="M95" s="629">
        <f t="array" ref="M95">SUM(IF($C95=$C92:$C94,M92:M94))</f>
        <v>3.0964455976453576E-2</v>
      </c>
      <c r="N95" s="477"/>
      <c r="O95" s="485"/>
      <c r="P95" s="629"/>
      <c r="Q95" s="629">
        <f t="array" ref="Q95">SUM(IF($C95=$C92:$C94,Q92:Q94))</f>
        <v>2.7112188729743076</v>
      </c>
      <c r="R95" s="629">
        <f t="array" ref="R95">SUM(IF($C95=$C92:$C94,R92:R94))</f>
        <v>7.8647064661065602E-4</v>
      </c>
      <c r="S95" s="629"/>
      <c r="T95" s="629">
        <f t="array" ref="T95">SUM(IF($C95=$C92:$C94,T92:T94))</f>
        <v>3.1762488012864751E-3</v>
      </c>
      <c r="U95" s="629">
        <f t="array" ref="U95">SUM(IF($C95=$C92:$C94,U92:U94))</f>
        <v>3.9406186477716947E-3</v>
      </c>
      <c r="V95" s="629">
        <f t="array" ref="V95">SUM(IF($C95=$C92:$C94,V92:V94))</f>
        <v>1.3003896788048312E-3</v>
      </c>
      <c r="W95" s="629">
        <f t="array" ref="W95">SUM(IF($C95=$C92:$C94,W92:W94))</f>
        <v>1.7061642810205148E-2</v>
      </c>
      <c r="X95" s="629">
        <f t="array" ref="X95">SUM(IF($C95=$C92:$C94,X92:X94))</f>
        <v>2.5964370869266406E-4</v>
      </c>
    </row>
    <row r="96" spans="1:24">
      <c r="A96" s="950"/>
      <c r="B96" s="642"/>
      <c r="C96" s="635"/>
      <c r="D96" s="443"/>
      <c r="E96" s="477"/>
      <c r="F96" s="477"/>
      <c r="G96" s="477"/>
      <c r="H96" s="477"/>
      <c r="I96" s="477"/>
      <c r="J96" s="477"/>
      <c r="K96" s="477"/>
      <c r="L96" s="477"/>
      <c r="M96" s="477"/>
      <c r="N96" s="477"/>
      <c r="O96" s="443"/>
      <c r="P96" s="477"/>
      <c r="Q96" s="477"/>
      <c r="R96" s="477"/>
      <c r="S96" s="477"/>
      <c r="T96" s="477"/>
      <c r="U96" s="477"/>
      <c r="V96" s="477"/>
      <c r="W96" s="477"/>
      <c r="X96" s="477"/>
    </row>
    <row r="97" spans="1:41">
      <c r="A97" s="950"/>
      <c r="B97" s="642"/>
      <c r="C97" s="635"/>
      <c r="D97" s="491" t="s">
        <v>548</v>
      </c>
      <c r="E97" s="477"/>
      <c r="F97" s="477"/>
      <c r="G97" s="477"/>
      <c r="H97" s="477"/>
      <c r="I97" s="477"/>
      <c r="J97" s="477"/>
      <c r="K97" s="477"/>
      <c r="L97" s="477"/>
      <c r="M97" s="477"/>
      <c r="N97" s="477"/>
      <c r="O97" s="475" t="s">
        <v>549</v>
      </c>
      <c r="P97" s="477"/>
      <c r="Q97" s="477"/>
      <c r="R97" s="477"/>
      <c r="S97" s="477"/>
      <c r="T97" s="477"/>
      <c r="U97" s="477"/>
      <c r="V97" s="477"/>
      <c r="W97" s="477"/>
      <c r="X97" s="477"/>
    </row>
    <row r="98" spans="1:41">
      <c r="A98" s="950"/>
      <c r="B98" s="642"/>
      <c r="C98" s="443" t="str">
        <f>C92</f>
        <v>US Avg Elec</v>
      </c>
      <c r="E98" s="477"/>
      <c r="F98" s="477">
        <f t="shared" ref="F98:F100" si="62">F92</f>
        <v>5.9994404717076106</v>
      </c>
      <c r="G98" s="477">
        <f t="shared" ref="G98:G100" si="63">G92</f>
        <v>3.5250735441191783E-2</v>
      </c>
      <c r="H98" s="477"/>
      <c r="I98" s="477">
        <f t="shared" ref="I98:I100" si="64">I92</f>
        <v>8.7662477915041014E-3</v>
      </c>
      <c r="J98" s="477">
        <f t="shared" ref="J98:J100" si="65">J92</f>
        <v>9.5588408951583891E-3</v>
      </c>
      <c r="K98" s="477">
        <f t="shared" ref="K98:K100" si="66">K92</f>
        <v>3.9312181705575648E-3</v>
      </c>
      <c r="L98" s="477">
        <f t="shared" ref="L98:L100" si="67">L92</f>
        <v>2.1814105942043409E-2</v>
      </c>
      <c r="M98" s="477">
        <f t="shared" ref="M98:M100" si="68">M92</f>
        <v>3.0964455976453576E-2</v>
      </c>
      <c r="N98" s="477"/>
      <c r="O98" s="443"/>
      <c r="P98" s="477"/>
      <c r="Q98" s="477">
        <f t="shared" ref="Q98:R100" si="69">Q80*batsizeBEV/batsizeHEV_Liion</f>
        <v>11.244954155120212</v>
      </c>
      <c r="R98" s="477">
        <f t="shared" si="69"/>
        <v>3.2619374457889378E-3</v>
      </c>
      <c r="S98" s="477"/>
      <c r="T98" s="477">
        <f t="shared" ref="T98:X100" si="70">T80*batsizeBEV/batsizeHEV_Liion</f>
        <v>1.3173695606706707E-2</v>
      </c>
      <c r="U98" s="477">
        <f t="shared" si="70"/>
        <v>1.6343968566577778E-2</v>
      </c>
      <c r="V98" s="477">
        <f t="shared" si="70"/>
        <v>5.3934495911464519E-3</v>
      </c>
      <c r="W98" s="477">
        <f t="shared" si="70"/>
        <v>7.0764257775071698E-2</v>
      </c>
      <c r="X98" s="477">
        <f t="shared" si="70"/>
        <v>1.0768889336150852E-3</v>
      </c>
    </row>
    <row r="99" spans="1:41">
      <c r="A99" s="618"/>
      <c r="B99" s="642"/>
      <c r="C99" s="443" t="str">
        <f>C93</f>
        <v>5% Elec Source</v>
      </c>
      <c r="E99" s="477"/>
      <c r="F99" s="477">
        <f t="shared" si="62"/>
        <v>4.1934486772100552</v>
      </c>
      <c r="G99" s="477">
        <f t="shared" si="63"/>
        <v>3.4788092316168931E-2</v>
      </c>
      <c r="H99" s="477"/>
      <c r="I99" s="477">
        <f t="shared" si="64"/>
        <v>6.8711041280556948E-3</v>
      </c>
      <c r="J99" s="477">
        <f t="shared" si="65"/>
        <v>7.2699518059692551E-3</v>
      </c>
      <c r="K99" s="477">
        <f t="shared" si="66"/>
        <v>3.3443109629400138E-3</v>
      </c>
      <c r="L99" s="477">
        <f t="shared" si="67"/>
        <v>1.7657069559109978E-2</v>
      </c>
      <c r="M99" s="477">
        <f t="shared" si="68"/>
        <v>3.080894842596962E-2</v>
      </c>
      <c r="N99" s="477"/>
      <c r="O99" s="443"/>
      <c r="P99" s="477"/>
      <c r="Q99" s="477">
        <f t="shared" si="69"/>
        <v>3.2570751116975227</v>
      </c>
      <c r="R99" s="477">
        <f t="shared" si="69"/>
        <v>1.2142063878165124E-3</v>
      </c>
      <c r="S99" s="477"/>
      <c r="T99" s="477">
        <f t="shared" si="70"/>
        <v>4.7854196724928149E-3</v>
      </c>
      <c r="U99" s="477">
        <f t="shared" si="70"/>
        <v>6.2125261950607674E-3</v>
      </c>
      <c r="V99" s="477">
        <f t="shared" si="70"/>
        <v>2.7246068821067423E-3</v>
      </c>
      <c r="W99" s="477">
        <f t="shared" si="70"/>
        <v>5.2357367663734992E-2</v>
      </c>
      <c r="X99" s="477">
        <f t="shared" si="70"/>
        <v>3.8740530646495314E-4</v>
      </c>
    </row>
    <row r="100" spans="1:41">
      <c r="A100" s="618"/>
      <c r="B100" s="642"/>
      <c r="C100" s="443" t="str">
        <f>C94</f>
        <v>95% Elec Source</v>
      </c>
      <c r="E100" s="477"/>
      <c r="F100" s="477">
        <f t="shared" si="62"/>
        <v>7.0615295492167993</v>
      </c>
      <c r="G100" s="477">
        <f t="shared" si="63"/>
        <v>3.5338740767704054E-2</v>
      </c>
      <c r="H100" s="477"/>
      <c r="I100" s="477">
        <f t="shared" si="64"/>
        <v>9.7896861786271917E-3</v>
      </c>
      <c r="J100" s="477">
        <f t="shared" si="65"/>
        <v>1.1739421687493222E-2</v>
      </c>
      <c r="K100" s="477">
        <f t="shared" si="66"/>
        <v>4.4713112392149468E-3</v>
      </c>
      <c r="L100" s="477">
        <f t="shared" si="67"/>
        <v>2.4931908143749903E-2</v>
      </c>
      <c r="M100" s="477">
        <f t="shared" si="68"/>
        <v>3.1026530256988354E-2</v>
      </c>
      <c r="N100" s="477"/>
      <c r="O100" s="443"/>
      <c r="P100" s="477"/>
      <c r="Q100" s="477">
        <f t="shared" si="69"/>
        <v>15.944902683100379</v>
      </c>
      <c r="R100" s="477">
        <f t="shared" si="69"/>
        <v>3.6514521171279934E-3</v>
      </c>
      <c r="S100" s="477"/>
      <c r="T100" s="477">
        <f t="shared" si="70"/>
        <v>1.770370667074727E-2</v>
      </c>
      <c r="U100" s="477">
        <f t="shared" si="70"/>
        <v>2.599599850274114E-2</v>
      </c>
      <c r="V100" s="477">
        <f t="shared" si="70"/>
        <v>7.8541447696947111E-3</v>
      </c>
      <c r="W100" s="477">
        <f t="shared" si="70"/>
        <v>8.4569531437325721E-2</v>
      </c>
      <c r="X100" s="477">
        <f t="shared" si="70"/>
        <v>1.3521129021226846E-3</v>
      </c>
    </row>
    <row r="101" spans="1:41">
      <c r="A101" s="618"/>
      <c r="B101" s="642"/>
      <c r="C101" s="485" t="str">
        <f>SUMMARY!$B$15</f>
        <v>US Avg Elec</v>
      </c>
      <c r="D101" s="629"/>
      <c r="E101" s="629"/>
      <c r="F101" s="629">
        <f t="array" ref="F101">SUM(IF($C101=$C98:$C100,F98:F100))</f>
        <v>5.9994404717076106</v>
      </c>
      <c r="G101" s="629">
        <f t="array" ref="G101">SUM(IF($C101=$C98:$C100,G98:G100))</f>
        <v>3.5250735441191783E-2</v>
      </c>
      <c r="H101" s="629"/>
      <c r="I101" s="629">
        <f t="array" ref="I101">SUM(IF($C101=$C98:$C100,I98:I100))</f>
        <v>8.7662477915041014E-3</v>
      </c>
      <c r="J101" s="629">
        <f t="array" ref="J101">SUM(IF($C101=$C98:$C100,J98:J100))</f>
        <v>9.5588408951583891E-3</v>
      </c>
      <c r="K101" s="629">
        <f t="array" ref="K101">SUM(IF($C101=$C98:$C100,K98:K100))</f>
        <v>3.9312181705575648E-3</v>
      </c>
      <c r="L101" s="629">
        <f t="array" ref="L101">SUM(IF($C101=$C98:$C100,L98:L100))</f>
        <v>2.1814105942043409E-2</v>
      </c>
      <c r="M101" s="629">
        <f t="array" ref="M101">SUM(IF($C101=$C98:$C100,M98:M100))</f>
        <v>3.0964455976453576E-2</v>
      </c>
      <c r="N101" s="477"/>
      <c r="O101" s="485"/>
      <c r="P101" s="629"/>
      <c r="Q101" s="629">
        <f t="array" ref="Q101">SUM(IF($C101=$C98:$C100,Q98:Q100))</f>
        <v>11.244954155120212</v>
      </c>
      <c r="R101" s="629">
        <f t="array" ref="R101">SUM(IF($C101=$C98:$C100,R98:R100))</f>
        <v>3.2619374457889378E-3</v>
      </c>
      <c r="S101" s="629"/>
      <c r="T101" s="629">
        <f t="array" ref="T101">SUM(IF($C101=$C98:$C100,T98:T100))</f>
        <v>1.3173695606706707E-2</v>
      </c>
      <c r="U101" s="629">
        <f t="array" ref="U101">SUM(IF($C101=$C98:$C100,U98:U100))</f>
        <v>1.6343968566577778E-2</v>
      </c>
      <c r="V101" s="629">
        <f t="array" ref="V101">SUM(IF($C101=$C98:$C100,V98:V100))</f>
        <v>5.3934495911464519E-3</v>
      </c>
      <c r="W101" s="629">
        <f t="array" ref="W101">SUM(IF($C101=$C98:$C100,W98:W100))</f>
        <v>7.0764257775071698E-2</v>
      </c>
      <c r="X101" s="629">
        <f t="array" ref="X101">SUM(IF($C101=$C98:$C100,X98:X100))</f>
        <v>1.0768889336150852E-3</v>
      </c>
    </row>
    <row r="102" spans="1:41">
      <c r="A102" s="474"/>
      <c r="B102" s="641"/>
      <c r="C102" s="633"/>
      <c r="D102" s="474"/>
      <c r="E102" s="474"/>
      <c r="F102" s="474"/>
      <c r="G102" s="474"/>
      <c r="H102" s="474"/>
      <c r="I102" s="474"/>
      <c r="J102" s="474"/>
      <c r="K102" s="474"/>
      <c r="L102" s="474"/>
      <c r="M102" s="474"/>
      <c r="N102" s="489"/>
      <c r="O102" s="474"/>
      <c r="P102" s="474"/>
      <c r="Q102" s="474"/>
      <c r="R102" s="474"/>
      <c r="S102" s="474"/>
      <c r="T102" s="474"/>
      <c r="U102" s="474"/>
      <c r="V102" s="474"/>
      <c r="W102" s="474"/>
      <c r="X102" s="474"/>
    </row>
    <row r="103" spans="1:41">
      <c r="C103" s="631"/>
      <c r="D103" s="489"/>
      <c r="E103" s="489"/>
      <c r="F103" s="489"/>
      <c r="G103" s="489"/>
      <c r="H103" s="489"/>
      <c r="I103" s="489"/>
      <c r="J103" s="489"/>
      <c r="K103" s="489"/>
      <c r="L103" s="489"/>
      <c r="M103" s="489"/>
      <c r="N103" s="489"/>
      <c r="O103" s="489"/>
      <c r="P103" s="489"/>
      <c r="Q103" s="489"/>
      <c r="R103" s="489"/>
      <c r="S103" s="489"/>
      <c r="T103" s="489"/>
      <c r="U103" s="489"/>
      <c r="V103" s="489"/>
      <c r="W103" s="489"/>
      <c r="X103" s="489"/>
    </row>
    <row r="104" spans="1:41">
      <c r="A104" s="949" t="s">
        <v>453</v>
      </c>
      <c r="B104" s="640"/>
      <c r="C104" s="632"/>
      <c r="D104" s="481" t="s">
        <v>457</v>
      </c>
      <c r="E104" s="201"/>
      <c r="F104" s="201"/>
      <c r="G104" s="201"/>
      <c r="H104" s="201"/>
      <c r="I104" s="201"/>
      <c r="J104" s="201"/>
      <c r="K104" s="201"/>
      <c r="L104" s="201"/>
      <c r="M104" s="201"/>
      <c r="N104" s="201"/>
      <c r="O104" s="481" t="s">
        <v>440</v>
      </c>
      <c r="P104" s="201"/>
      <c r="Q104" s="201"/>
      <c r="R104" s="201"/>
      <c r="S104" s="201"/>
      <c r="T104" s="201"/>
      <c r="U104" s="201"/>
      <c r="V104" s="201"/>
      <c r="W104" s="201"/>
      <c r="X104" s="201"/>
    </row>
    <row r="105" spans="1:41" ht="15.75" thickBot="1">
      <c r="A105" s="949"/>
      <c r="B105" s="640"/>
      <c r="C105" s="637"/>
      <c r="D105" s="482"/>
      <c r="E105" s="482" t="s">
        <v>1</v>
      </c>
      <c r="F105" s="482" t="s">
        <v>15</v>
      </c>
      <c r="G105" s="483" t="s">
        <v>2</v>
      </c>
      <c r="H105" s="483" t="s">
        <v>43</v>
      </c>
      <c r="I105" s="483" t="s">
        <v>25</v>
      </c>
      <c r="J105" s="483" t="s">
        <v>26</v>
      </c>
      <c r="K105" s="483" t="s">
        <v>27</v>
      </c>
      <c r="L105" s="483" t="s">
        <v>39</v>
      </c>
      <c r="M105" s="483" t="s">
        <v>3</v>
      </c>
      <c r="N105" s="553"/>
      <c r="O105" s="482"/>
      <c r="P105" s="482" t="s">
        <v>1</v>
      </c>
      <c r="Q105" s="482" t="s">
        <v>15</v>
      </c>
      <c r="R105" s="483" t="s">
        <v>2</v>
      </c>
      <c r="S105" s="483" t="s">
        <v>43</v>
      </c>
      <c r="T105" s="483" t="s">
        <v>25</v>
      </c>
      <c r="U105" s="483" t="s">
        <v>26</v>
      </c>
      <c r="V105" s="483" t="s">
        <v>27</v>
      </c>
      <c r="W105" s="483" t="s">
        <v>39</v>
      </c>
      <c r="X105" s="483" t="s">
        <v>3</v>
      </c>
      <c r="AA105" s="201"/>
      <c r="AB105" s="201"/>
      <c r="AC105" s="201"/>
      <c r="AD105" s="201"/>
      <c r="AE105" s="201"/>
      <c r="AF105" s="201"/>
      <c r="AG105" s="201"/>
      <c r="AH105" s="201"/>
      <c r="AI105" s="201"/>
      <c r="AJ105" s="201"/>
      <c r="AK105" s="201"/>
      <c r="AL105" s="201"/>
      <c r="AM105" s="201"/>
      <c r="AN105" s="201"/>
      <c r="AO105" s="201"/>
    </row>
    <row r="106" spans="1:41" ht="15.75" thickTop="1">
      <c r="A106" s="949"/>
      <c r="B106" s="640" t="b">
        <f>IF(AND(C118=C106,D118=D106),TRUE,FALSE)</f>
        <v>0</v>
      </c>
      <c r="C106" s="636" t="str">
        <f>$C$30</f>
        <v>US Avg Elec</v>
      </c>
      <c r="D106" s="429" t="s">
        <v>51</v>
      </c>
      <c r="E106" s="429"/>
      <c r="F106" s="429">
        <f>Valuation!$C$9 * USD_2000/USD_BaseYear</f>
        <v>33.069339327731633</v>
      </c>
      <c r="G106" s="802">
        <v>53.612550077543098</v>
      </c>
      <c r="H106" s="802">
        <v>790.97527522151699</v>
      </c>
      <c r="I106" s="802">
        <v>1580.0107007950733</v>
      </c>
      <c r="J106" s="802">
        <v>647.57733731195856</v>
      </c>
      <c r="K106" s="802">
        <v>3931.9521589491696</v>
      </c>
      <c r="L106" s="802">
        <v>1445.7369056937025</v>
      </c>
      <c r="M106" s="802">
        <v>1359.6614697968007</v>
      </c>
      <c r="N106" s="429"/>
      <c r="O106" s="429"/>
      <c r="P106" s="429"/>
      <c r="Q106" s="429">
        <f>Valuation!$C$9 * USD_2000/USD_BaseYear</f>
        <v>33.069339327731633</v>
      </c>
      <c r="R106" s="802">
        <v>62.764799184326371</v>
      </c>
      <c r="S106" s="802">
        <v>764.54901503123187</v>
      </c>
      <c r="T106" s="802">
        <v>1885.9968792742425</v>
      </c>
      <c r="U106" s="802">
        <v>742.28889584945864</v>
      </c>
      <c r="V106" s="802">
        <v>4704.9523743319096</v>
      </c>
      <c r="W106" s="802">
        <v>1534.0440898873205</v>
      </c>
      <c r="X106" s="802">
        <v>1636.0832257334253</v>
      </c>
      <c r="AA106" s="201"/>
      <c r="AB106" s="201"/>
      <c r="AC106" s="201"/>
      <c r="AD106" s="201"/>
      <c r="AE106" s="201"/>
      <c r="AF106" s="201"/>
      <c r="AG106" s="201"/>
      <c r="AH106" s="201"/>
      <c r="AI106" s="201"/>
      <c r="AJ106" s="201"/>
      <c r="AK106" s="201"/>
      <c r="AL106" s="201"/>
      <c r="AM106" s="201"/>
      <c r="AN106" s="201"/>
      <c r="AO106" s="201"/>
    </row>
    <row r="107" spans="1:41">
      <c r="A107" s="949"/>
      <c r="B107" s="640" t="b">
        <f>IF(AND(C118=C107,D118=D107),TRUE,FALSE)</f>
        <v>0</v>
      </c>
      <c r="C107" s="636" t="str">
        <f>$C$30</f>
        <v>US Avg Elec</v>
      </c>
      <c r="D107" s="429" t="s">
        <v>96</v>
      </c>
      <c r="E107" s="429"/>
      <c r="F107" s="429">
        <f>Valuation!$C$9 * USD_2000/USD_BaseYear</f>
        <v>33.069339327731633</v>
      </c>
      <c r="G107" s="802">
        <v>434.15695348045949</v>
      </c>
      <c r="H107" s="802">
        <v>92560.176805425785</v>
      </c>
      <c r="I107" s="802">
        <v>1826.7951339329773</v>
      </c>
      <c r="J107" s="802">
        <v>4331.3607739054341</v>
      </c>
      <c r="K107" s="802">
        <v>23370.994955471098</v>
      </c>
      <c r="L107" s="802">
        <v>3034.7144812988372</v>
      </c>
      <c r="M107" s="802">
        <v>1852.8584030088793</v>
      </c>
      <c r="N107" s="429"/>
      <c r="O107" s="429"/>
      <c r="P107" s="429"/>
      <c r="Q107" s="429">
        <f>Valuation!$C$9 * USD_2000/USD_BaseYear</f>
        <v>33.069339327731633</v>
      </c>
      <c r="R107" s="802">
        <v>106.00774000407641</v>
      </c>
      <c r="S107" s="802">
        <v>4327.1362751407196</v>
      </c>
      <c r="T107" s="802">
        <v>1222.4362802553576</v>
      </c>
      <c r="U107" s="802">
        <v>1225.3912372585082</v>
      </c>
      <c r="V107" s="802">
        <v>9295.2687816690595</v>
      </c>
      <c r="W107" s="802">
        <v>6203.5495055622387</v>
      </c>
      <c r="X107" s="802">
        <v>1186.1803011563063</v>
      </c>
      <c r="AA107" s="201"/>
      <c r="AB107" s="201"/>
      <c r="AC107" s="201"/>
      <c r="AD107" s="201"/>
      <c r="AE107" s="201"/>
      <c r="AF107" s="201"/>
      <c r="AG107" s="201"/>
      <c r="AH107" s="201"/>
      <c r="AI107" s="201"/>
      <c r="AJ107" s="201"/>
      <c r="AK107" s="201"/>
      <c r="AL107" s="201"/>
      <c r="AM107" s="201"/>
      <c r="AN107" s="201"/>
      <c r="AO107" s="201"/>
    </row>
    <row r="108" spans="1:41">
      <c r="A108" s="949"/>
      <c r="B108" s="640" t="b">
        <f>IF(AND(C118=C108,D118=D108),TRUE,FALSE)</f>
        <v>0</v>
      </c>
      <c r="C108" s="636" t="str">
        <f>$C$30</f>
        <v>US Avg Elec</v>
      </c>
      <c r="D108" s="429" t="s">
        <v>50</v>
      </c>
      <c r="E108" s="429"/>
      <c r="F108" s="429">
        <f>Valuation!$C$9 * USD_2000/USD_BaseYear</f>
        <v>33.069339327731633</v>
      </c>
      <c r="G108" s="802">
        <v>564.8207752823281</v>
      </c>
      <c r="H108" s="802">
        <v>60477.692728816401</v>
      </c>
      <c r="I108" s="802">
        <v>2870.449295494418</v>
      </c>
      <c r="J108" s="802">
        <v>6251.5841992329488</v>
      </c>
      <c r="K108" s="802">
        <v>47586.779252699998</v>
      </c>
      <c r="L108" s="802">
        <v>14618.610272124723</v>
      </c>
      <c r="M108" s="802">
        <v>2872.0647150822424</v>
      </c>
      <c r="N108" s="578"/>
      <c r="O108" s="429"/>
      <c r="P108" s="429"/>
      <c r="Q108" s="429">
        <f>Valuation!$C$9 * USD_2000/USD_BaseYear</f>
        <v>33.069339327731633</v>
      </c>
      <c r="R108" s="802">
        <v>496.87013933163189</v>
      </c>
      <c r="S108" s="802">
        <v>37085.368049496799</v>
      </c>
      <c r="T108" s="802">
        <v>2955.544498854279</v>
      </c>
      <c r="U108" s="802">
        <v>5515.5472753788845</v>
      </c>
      <c r="V108" s="802">
        <v>41109.377532878003</v>
      </c>
      <c r="W108" s="802">
        <v>15211.625052718209</v>
      </c>
      <c r="X108" s="802">
        <v>2957.013841249614</v>
      </c>
      <c r="AA108" s="201"/>
      <c r="AB108" s="201"/>
      <c r="AC108" s="201"/>
      <c r="AD108" s="201"/>
      <c r="AE108" s="201"/>
      <c r="AF108" s="201"/>
      <c r="AG108" s="201"/>
      <c r="AH108" s="201"/>
      <c r="AI108" s="201"/>
      <c r="AJ108" s="201"/>
      <c r="AK108" s="201"/>
      <c r="AL108" s="201"/>
      <c r="AM108" s="201"/>
      <c r="AN108" s="201"/>
      <c r="AO108" s="201"/>
    </row>
    <row r="109" spans="1:41">
      <c r="A109" s="949"/>
      <c r="B109" s="640" t="b">
        <f>IF(AND(C118=C109,D118=D109),TRUE,FALSE)</f>
        <v>1</v>
      </c>
      <c r="C109" s="636" t="str">
        <f>$C$30</f>
        <v>US Avg Elec</v>
      </c>
      <c r="D109" s="429" t="s">
        <v>434</v>
      </c>
      <c r="E109" s="429"/>
      <c r="F109" s="429">
        <f>Valuation!$C$9 * USD_2000/USD_BaseYear</f>
        <v>33.069339327731633</v>
      </c>
      <c r="G109" s="802">
        <v>354.62629882054574</v>
      </c>
      <c r="H109" s="802">
        <v>37315.317677830753</v>
      </c>
      <c r="I109" s="802">
        <v>2041.9326029148592</v>
      </c>
      <c r="J109" s="802">
        <v>3774.7034722860535</v>
      </c>
      <c r="K109" s="802">
        <v>25330.941165080971</v>
      </c>
      <c r="L109" s="802">
        <v>10091.617676883025</v>
      </c>
      <c r="M109" s="802">
        <v>1902.0734009168641</v>
      </c>
      <c r="N109" s="578"/>
      <c r="O109" s="429"/>
      <c r="P109" s="429"/>
      <c r="Q109" s="429">
        <f>Valuation!$C$9 * USD_2000/USD_BaseYear</f>
        <v>33.069339327731633</v>
      </c>
      <c r="R109" s="802">
        <v>354.62629882054574</v>
      </c>
      <c r="S109" s="802">
        <v>37315.317677830753</v>
      </c>
      <c r="T109" s="802">
        <v>2041.9326029148592</v>
      </c>
      <c r="U109" s="802">
        <v>3774.7034722860535</v>
      </c>
      <c r="V109" s="802">
        <v>25330.941165080971</v>
      </c>
      <c r="W109" s="802">
        <v>10091.617676883025</v>
      </c>
      <c r="X109" s="802">
        <v>1902.0734009168641</v>
      </c>
      <c r="AA109" s="201"/>
      <c r="AB109" s="201"/>
      <c r="AC109" s="201"/>
      <c r="AD109" s="201"/>
      <c r="AE109" s="201"/>
      <c r="AF109" s="201"/>
      <c r="AG109" s="201"/>
      <c r="AH109" s="201"/>
      <c r="AI109" s="201"/>
      <c r="AJ109" s="201"/>
      <c r="AK109" s="201"/>
      <c r="AL109" s="201"/>
      <c r="AM109" s="201"/>
      <c r="AN109" s="201"/>
      <c r="AO109" s="201"/>
    </row>
    <row r="110" spans="1:41">
      <c r="A110" s="949"/>
      <c r="B110" s="640" t="b">
        <f>IF(AND(C118=C110,D118=D110),TRUE,FALSE)</f>
        <v>0</v>
      </c>
      <c r="C110" s="636" t="str">
        <f>$C$31</f>
        <v>5% Elec Source</v>
      </c>
      <c r="D110" s="429" t="str">
        <f>D106</f>
        <v>5% Best</v>
      </c>
      <c r="E110" s="429"/>
      <c r="F110" s="429">
        <f>Valuation!$C$9 * USD_2000/USD_BaseYear</f>
        <v>33.069339327731633</v>
      </c>
      <c r="G110" s="802">
        <v>42.905342355584118</v>
      </c>
      <c r="H110" s="802">
        <v>920.74013425263399</v>
      </c>
      <c r="I110" s="802">
        <v>1534.8235198845748</v>
      </c>
      <c r="J110" s="802">
        <v>539.68059958673302</v>
      </c>
      <c r="K110" s="802">
        <v>3376.21640045612</v>
      </c>
      <c r="L110" s="802">
        <v>1520.9449608278587</v>
      </c>
      <c r="M110" s="802">
        <v>1260.9216090217144</v>
      </c>
      <c r="N110" s="578"/>
      <c r="O110" s="429"/>
      <c r="P110" s="429"/>
      <c r="Q110" s="429">
        <f>Valuation!$C$9 * USD_2000/USD_BaseYear</f>
        <v>33.069339327731633</v>
      </c>
      <c r="R110" s="802">
        <v>0</v>
      </c>
      <c r="S110" s="802">
        <v>0</v>
      </c>
      <c r="T110" s="802">
        <v>0</v>
      </c>
      <c r="U110" s="802">
        <v>0</v>
      </c>
      <c r="V110" s="802">
        <v>0</v>
      </c>
      <c r="W110" s="802">
        <v>0</v>
      </c>
      <c r="X110" s="802">
        <v>0</v>
      </c>
      <c r="AA110" s="201"/>
      <c r="AB110" s="201"/>
      <c r="AC110" s="201"/>
      <c r="AD110" s="201"/>
      <c r="AE110" s="201"/>
      <c r="AF110" s="201"/>
      <c r="AG110" s="201"/>
      <c r="AH110" s="201"/>
      <c r="AI110" s="201"/>
      <c r="AJ110" s="201"/>
      <c r="AK110" s="201"/>
      <c r="AL110" s="201"/>
      <c r="AM110" s="201"/>
      <c r="AN110" s="201"/>
      <c r="AO110" s="201"/>
    </row>
    <row r="111" spans="1:41">
      <c r="A111" s="949"/>
      <c r="B111" s="640" t="b">
        <f>IF(AND(C118=C111,D118=D111),TRUE,FALSE)</f>
        <v>0</v>
      </c>
      <c r="C111" s="636" t="str">
        <f>$C$31</f>
        <v>5% Elec Source</v>
      </c>
      <c r="D111" s="429" t="str">
        <f t="shared" ref="D111:D117" si="71">D107</f>
        <v>50% Median</v>
      </c>
      <c r="E111" s="429"/>
      <c r="F111" s="429">
        <f>Valuation!$C$9 * USD_2000/USD_BaseYear</f>
        <v>33.069339327731633</v>
      </c>
      <c r="G111" s="802">
        <v>102.15674490030371</v>
      </c>
      <c r="H111" s="802">
        <v>2922.62301257029</v>
      </c>
      <c r="I111" s="802">
        <v>2142.658658885684</v>
      </c>
      <c r="J111" s="802">
        <v>1173.3705229209804</v>
      </c>
      <c r="K111" s="802">
        <v>7345.4090447023282</v>
      </c>
      <c r="L111" s="802">
        <v>5616.6688559235263</v>
      </c>
      <c r="M111" s="802">
        <v>2002.3700635404027</v>
      </c>
      <c r="N111" s="578"/>
      <c r="O111" s="429"/>
      <c r="P111" s="429"/>
      <c r="Q111" s="429">
        <f>Valuation!$C$9 * USD_2000/USD_BaseYear</f>
        <v>33.069339327731633</v>
      </c>
      <c r="R111" s="802">
        <v>0</v>
      </c>
      <c r="S111" s="802">
        <v>0</v>
      </c>
      <c r="T111" s="802">
        <v>0</v>
      </c>
      <c r="U111" s="802">
        <v>0</v>
      </c>
      <c r="V111" s="802">
        <v>0</v>
      </c>
      <c r="W111" s="802">
        <v>0</v>
      </c>
      <c r="X111" s="802">
        <v>0</v>
      </c>
      <c r="AA111" s="201"/>
      <c r="AB111" s="201"/>
      <c r="AC111" s="201"/>
      <c r="AD111" s="201"/>
      <c r="AE111" s="201"/>
      <c r="AF111" s="201"/>
      <c r="AG111" s="201"/>
      <c r="AH111" s="201"/>
      <c r="AI111" s="201"/>
      <c r="AJ111" s="201"/>
      <c r="AK111" s="201"/>
      <c r="AL111" s="201"/>
      <c r="AM111" s="201"/>
      <c r="AN111" s="201"/>
      <c r="AO111" s="201"/>
    </row>
    <row r="112" spans="1:41">
      <c r="A112" s="949"/>
      <c r="B112" s="640" t="b">
        <f>IF(AND(C118=C112,D118=D112),TRUE,FALSE)</f>
        <v>0</v>
      </c>
      <c r="C112" s="636" t="str">
        <f>$C$31</f>
        <v>5% Elec Source</v>
      </c>
      <c r="D112" s="429" t="str">
        <f t="shared" si="71"/>
        <v>95% Worst</v>
      </c>
      <c r="E112" s="429"/>
      <c r="F112" s="429">
        <f>Valuation!$C$9 * USD_2000/USD_BaseYear</f>
        <v>33.069339327731633</v>
      </c>
      <c r="G112" s="802">
        <v>601.97957976541954</v>
      </c>
      <c r="H112" s="802">
        <v>57286.545578818797</v>
      </c>
      <c r="I112" s="802">
        <v>2535.9249848832096</v>
      </c>
      <c r="J112" s="802">
        <v>6323.0165500466555</v>
      </c>
      <c r="K112" s="802">
        <v>50533.400684800297</v>
      </c>
      <c r="L112" s="802">
        <v>14429.519106574307</v>
      </c>
      <c r="M112" s="802">
        <v>2599.7208551173881</v>
      </c>
      <c r="N112" s="578"/>
      <c r="O112" s="429"/>
      <c r="P112" s="429"/>
      <c r="Q112" s="429">
        <f>Valuation!$C$9 * USD_2000/USD_BaseYear</f>
        <v>33.069339327731633</v>
      </c>
      <c r="R112" s="802">
        <v>0</v>
      </c>
      <c r="S112" s="802">
        <v>0</v>
      </c>
      <c r="T112" s="802">
        <v>0</v>
      </c>
      <c r="U112" s="802">
        <v>0</v>
      </c>
      <c r="V112" s="802">
        <v>0</v>
      </c>
      <c r="W112" s="802">
        <v>0</v>
      </c>
      <c r="X112" s="802">
        <v>0</v>
      </c>
      <c r="AA112" s="201"/>
      <c r="AB112" s="201"/>
      <c r="AC112" s="201"/>
      <c r="AD112" s="201"/>
      <c r="AE112" s="201"/>
      <c r="AF112" s="201"/>
      <c r="AG112" s="201"/>
      <c r="AH112" s="201"/>
      <c r="AI112" s="201"/>
      <c r="AJ112" s="201"/>
      <c r="AK112" s="201"/>
      <c r="AL112" s="201"/>
      <c r="AM112" s="201"/>
      <c r="AN112" s="201"/>
      <c r="AO112" s="201"/>
    </row>
    <row r="113" spans="1:41">
      <c r="A113" s="949"/>
      <c r="B113" s="640" t="b">
        <f>IF(AND(C118=C113,D118=D113),TRUE,FALSE)</f>
        <v>0</v>
      </c>
      <c r="C113" s="636" t="str">
        <f>$C$31</f>
        <v>5% Elec Source</v>
      </c>
      <c r="D113" s="429" t="str">
        <f t="shared" si="71"/>
        <v>Weighted Average</v>
      </c>
      <c r="E113" s="429"/>
      <c r="F113" s="429">
        <f>Valuation!$C$9 * USD_2000/USD_BaseYear</f>
        <v>33.069339327731633</v>
      </c>
      <c r="G113" s="802">
        <v>354.62629882054574</v>
      </c>
      <c r="H113" s="802">
        <v>37315.317677830753</v>
      </c>
      <c r="I113" s="802">
        <v>2041.9326029148592</v>
      </c>
      <c r="J113" s="802">
        <v>3774.7034722860535</v>
      </c>
      <c r="K113" s="802">
        <v>25330.941165080971</v>
      </c>
      <c r="L113" s="802">
        <v>10091.617676883025</v>
      </c>
      <c r="M113" s="802">
        <v>1902.0734009168641</v>
      </c>
      <c r="N113" s="578"/>
      <c r="O113" s="429"/>
      <c r="P113" s="429"/>
      <c r="Q113" s="429">
        <f>Valuation!$C$9 * USD_2000/USD_BaseYear</f>
        <v>33.069339327731633</v>
      </c>
      <c r="R113" s="804">
        <f>G113</f>
        <v>354.62629882054574</v>
      </c>
      <c r="S113" s="804">
        <f t="shared" ref="S113:X113" si="72">H113</f>
        <v>37315.317677830753</v>
      </c>
      <c r="T113" s="804">
        <f t="shared" si="72"/>
        <v>2041.9326029148592</v>
      </c>
      <c r="U113" s="804">
        <f t="shared" si="72"/>
        <v>3774.7034722860535</v>
      </c>
      <c r="V113" s="804">
        <f t="shared" si="72"/>
        <v>25330.941165080971</v>
      </c>
      <c r="W113" s="804">
        <f t="shared" si="72"/>
        <v>10091.617676883025</v>
      </c>
      <c r="X113" s="804">
        <f t="shared" si="72"/>
        <v>1902.0734009168641</v>
      </c>
      <c r="AA113" s="201"/>
      <c r="AB113" s="201"/>
      <c r="AC113" s="201"/>
      <c r="AD113" s="201"/>
      <c r="AE113" s="201"/>
      <c r="AF113" s="201"/>
      <c r="AG113" s="201"/>
      <c r="AH113" s="201"/>
      <c r="AI113" s="201"/>
      <c r="AJ113" s="201"/>
      <c r="AK113" s="201"/>
      <c r="AL113" s="201"/>
      <c r="AM113" s="201"/>
      <c r="AN113" s="201"/>
      <c r="AO113" s="201"/>
    </row>
    <row r="114" spans="1:41">
      <c r="A114" s="949"/>
      <c r="B114" s="640" t="b">
        <f>IF(AND(C118=C114,D118=D114),TRUE,FALSE)</f>
        <v>0</v>
      </c>
      <c r="C114" s="636" t="str">
        <f>$C$32</f>
        <v>95% Elec Source</v>
      </c>
      <c r="D114" s="429" t="str">
        <f t="shared" si="71"/>
        <v>5% Best</v>
      </c>
      <c r="E114" s="429"/>
      <c r="F114" s="429">
        <f>Valuation!$C$9 * USD_2000/USD_BaseYear</f>
        <v>33.069339327731633</v>
      </c>
      <c r="G114" s="802">
        <v>88.159601973097722</v>
      </c>
      <c r="H114" s="802">
        <v>1153.9182186002699</v>
      </c>
      <c r="I114" s="802">
        <v>595.89973321934986</v>
      </c>
      <c r="J114" s="802">
        <v>898.6101839343778</v>
      </c>
      <c r="K114" s="802">
        <v>4794.5504422313297</v>
      </c>
      <c r="L114" s="802">
        <v>2403.6689353608313</v>
      </c>
      <c r="M114" s="802">
        <v>568.03282523013479</v>
      </c>
      <c r="N114" s="578"/>
      <c r="O114" s="429"/>
      <c r="P114" s="429"/>
      <c r="Q114" s="429">
        <f>Valuation!$C$9 * USD_2000/USD_BaseYear</f>
        <v>33.069339327731633</v>
      </c>
      <c r="R114" s="802">
        <v>41.959225768843282</v>
      </c>
      <c r="S114" s="802">
        <v>720.89726669296999</v>
      </c>
      <c r="T114" s="802">
        <v>839.99282589450274</v>
      </c>
      <c r="U114" s="802">
        <v>514.40731925864509</v>
      </c>
      <c r="V114" s="802">
        <v>2644.9199288646105</v>
      </c>
      <c r="W114" s="802">
        <v>2325.3076845527698</v>
      </c>
      <c r="X114" s="802">
        <v>808.91640426470519</v>
      </c>
      <c r="AA114" s="201"/>
      <c r="AB114" s="201"/>
      <c r="AC114" s="201"/>
      <c r="AD114" s="201"/>
      <c r="AE114" s="201"/>
      <c r="AF114" s="201"/>
      <c r="AG114" s="201"/>
      <c r="AH114" s="201"/>
      <c r="AI114" s="201"/>
      <c r="AJ114" s="201"/>
      <c r="AK114" s="201"/>
      <c r="AL114" s="201"/>
      <c r="AM114" s="201"/>
      <c r="AN114" s="201"/>
      <c r="AO114" s="201"/>
    </row>
    <row r="115" spans="1:41">
      <c r="A115" s="949"/>
      <c r="B115" s="640" t="b">
        <f>IF(AND(C118=C115,D118=D115),TRUE,FALSE)</f>
        <v>0</v>
      </c>
      <c r="C115" s="636" t="str">
        <f>$C$32</f>
        <v>95% Elec Source</v>
      </c>
      <c r="D115" s="429" t="str">
        <f t="shared" si="71"/>
        <v>50% Median</v>
      </c>
      <c r="E115" s="429"/>
      <c r="F115" s="429">
        <f>Valuation!$C$9 * USD_2000/USD_BaseYear</f>
        <v>33.069339327731633</v>
      </c>
      <c r="G115" s="802">
        <v>95.289977768725819</v>
      </c>
      <c r="H115" s="802">
        <v>4444.1995316400998</v>
      </c>
      <c r="I115" s="802">
        <v>2495.0072111022359</v>
      </c>
      <c r="J115" s="802">
        <v>1129.0708587476893</v>
      </c>
      <c r="K115" s="802">
        <v>7717.2858905552393</v>
      </c>
      <c r="L115" s="802">
        <v>5447.7659488138834</v>
      </c>
      <c r="M115" s="802">
        <v>2141.9079727581498</v>
      </c>
      <c r="N115" s="578"/>
      <c r="O115" s="429"/>
      <c r="P115" s="429"/>
      <c r="Q115" s="429">
        <f>Valuation!$C$9 * USD_2000/USD_BaseYear</f>
        <v>33.069339327731633</v>
      </c>
      <c r="R115" s="802">
        <v>114.61420746311632</v>
      </c>
      <c r="S115" s="802">
        <v>7910.01399999564</v>
      </c>
      <c r="T115" s="802">
        <v>2613.5968931881384</v>
      </c>
      <c r="U115" s="802">
        <v>1328.736107933734</v>
      </c>
      <c r="V115" s="802">
        <v>8881.6914989588495</v>
      </c>
      <c r="W115" s="802">
        <v>5669.9956347221105</v>
      </c>
      <c r="X115" s="802">
        <v>2310.8936623448635</v>
      </c>
      <c r="AA115" s="201"/>
      <c r="AB115" s="201"/>
      <c r="AC115" s="201"/>
      <c r="AD115" s="201"/>
      <c r="AE115" s="201"/>
      <c r="AF115" s="201"/>
      <c r="AG115" s="201"/>
      <c r="AH115" s="201"/>
      <c r="AI115" s="201"/>
      <c r="AJ115" s="201"/>
      <c r="AK115" s="201"/>
      <c r="AL115" s="201"/>
      <c r="AM115" s="201"/>
      <c r="AN115" s="201"/>
      <c r="AO115" s="201"/>
    </row>
    <row r="116" spans="1:41">
      <c r="A116" s="949"/>
      <c r="B116" s="640" t="b">
        <f>IF(AND(C118=C116,D118=D116),TRUE,FALSE)</f>
        <v>0</v>
      </c>
      <c r="C116" s="636" t="str">
        <f>$C$32</f>
        <v>95% Elec Source</v>
      </c>
      <c r="D116" s="429" t="str">
        <f t="shared" si="71"/>
        <v>95% Worst</v>
      </c>
      <c r="E116" s="429"/>
      <c r="F116" s="429">
        <f>Valuation!$C$9 * USD_2000/USD_BaseYear</f>
        <v>33.069339327731633</v>
      </c>
      <c r="G116" s="802">
        <v>601.97957976541954</v>
      </c>
      <c r="H116" s="802">
        <v>57286.545578818797</v>
      </c>
      <c r="I116" s="802">
        <v>2535.9249848832096</v>
      </c>
      <c r="J116" s="802">
        <v>6323.0165500466555</v>
      </c>
      <c r="K116" s="802">
        <v>50533.400684800297</v>
      </c>
      <c r="L116" s="802">
        <v>14429.519106574307</v>
      </c>
      <c r="M116" s="802">
        <v>2599.7208551173881</v>
      </c>
      <c r="N116" s="578"/>
      <c r="O116" s="429"/>
      <c r="P116" s="429"/>
      <c r="Q116" s="429">
        <f>Valuation!$C$9 * USD_2000/USD_BaseYear</f>
        <v>33.069339327731633</v>
      </c>
      <c r="R116" s="802">
        <v>468.02296933947338</v>
      </c>
      <c r="S116" s="802">
        <v>6050.2704172440308</v>
      </c>
      <c r="T116" s="802">
        <v>7398.7628521742363</v>
      </c>
      <c r="U116" s="802">
        <v>5435.8350430976861</v>
      </c>
      <c r="V116" s="802">
        <v>37947.397540143</v>
      </c>
      <c r="W116" s="802">
        <v>13608.498231184141</v>
      </c>
      <c r="X116" s="802">
        <v>6946.5968813753743</v>
      </c>
      <c r="AA116" s="201"/>
      <c r="AB116" s="201"/>
      <c r="AC116" s="201"/>
      <c r="AD116" s="201"/>
      <c r="AE116" s="201"/>
      <c r="AF116" s="201"/>
      <c r="AG116" s="201"/>
      <c r="AH116" s="201"/>
      <c r="AI116" s="201"/>
      <c r="AJ116" s="201"/>
      <c r="AK116" s="201"/>
      <c r="AL116" s="201"/>
      <c r="AM116" s="201"/>
      <c r="AN116" s="201"/>
      <c r="AO116" s="201"/>
    </row>
    <row r="117" spans="1:41">
      <c r="A117" s="949"/>
      <c r="B117" s="640" t="b">
        <f>IF(AND(C118=C117,D118=D117),TRUE,FALSE)</f>
        <v>0</v>
      </c>
      <c r="C117" s="636" t="str">
        <f>$C$32</f>
        <v>95% Elec Source</v>
      </c>
      <c r="D117" s="429" t="str">
        <f t="shared" si="71"/>
        <v>Weighted Average</v>
      </c>
      <c r="E117" s="429"/>
      <c r="F117" s="429">
        <f>Valuation!$C$9 * USD_2000/USD_BaseYear</f>
        <v>33.069339327731633</v>
      </c>
      <c r="G117" s="802">
        <v>354.62629882054574</v>
      </c>
      <c r="H117" s="802">
        <v>37315.317677830753</v>
      </c>
      <c r="I117" s="802">
        <v>2041.9326029148592</v>
      </c>
      <c r="J117" s="802">
        <v>3774.7034722860535</v>
      </c>
      <c r="K117" s="802">
        <v>25330.941165080971</v>
      </c>
      <c r="L117" s="802">
        <v>10091.617676883025</v>
      </c>
      <c r="M117" s="802">
        <v>1902.0734009168641</v>
      </c>
      <c r="N117" s="578"/>
      <c r="O117" s="429"/>
      <c r="P117" s="429"/>
      <c r="Q117" s="429">
        <f>Valuation!$C$9 * USD_2000/USD_BaseYear</f>
        <v>33.069339327731633</v>
      </c>
      <c r="R117" s="802">
        <v>354.62629882054574</v>
      </c>
      <c r="S117" s="802">
        <v>37315.317677830753</v>
      </c>
      <c r="T117" s="802">
        <v>2041.9326029148592</v>
      </c>
      <c r="U117" s="802">
        <v>3774.7034722860535</v>
      </c>
      <c r="V117" s="802">
        <v>25330.941165080971</v>
      </c>
      <c r="W117" s="802">
        <v>10091.617676883025</v>
      </c>
      <c r="X117" s="802">
        <v>1902.0734009168641</v>
      </c>
      <c r="AA117" s="201"/>
      <c r="AB117" s="201"/>
      <c r="AC117" s="201"/>
      <c r="AD117" s="201"/>
      <c r="AE117" s="201"/>
      <c r="AF117" s="201"/>
      <c r="AG117" s="201"/>
      <c r="AH117" s="201"/>
      <c r="AI117" s="201"/>
      <c r="AJ117" s="201"/>
      <c r="AK117" s="201"/>
      <c r="AL117" s="201"/>
      <c r="AM117" s="201"/>
      <c r="AN117" s="201"/>
      <c r="AO117" s="201"/>
    </row>
    <row r="118" spans="1:41" s="159" customFormat="1">
      <c r="A118" s="949"/>
      <c r="B118" s="640"/>
      <c r="C118" s="485" t="str">
        <f>SUMMARY!$B$15</f>
        <v>US Avg Elec</v>
      </c>
      <c r="D118" s="485" t="str">
        <f>SUMMARY!B13</f>
        <v>Weighted Average</v>
      </c>
      <c r="E118" s="485">
        <f t="array" ref="E118">SUM(IF($B106:$B117=TRUE,E106:E117))</f>
        <v>0</v>
      </c>
      <c r="F118" s="485">
        <f t="array" ref="F118">SUM(IF($B106:$B117=TRUE,F106:F117))</f>
        <v>33.069339327731633</v>
      </c>
      <c r="G118" s="485">
        <f t="array" ref="G118">SUM(IF($B106:$B117=TRUE,G106:G117))</f>
        <v>354.62629882054574</v>
      </c>
      <c r="H118" s="485">
        <f t="array" ref="H118">SUM(IF($B106:$B117=TRUE,H106:H117))</f>
        <v>37315.317677830753</v>
      </c>
      <c r="I118" s="485">
        <f t="array" ref="I118">SUM(IF($B106:$B117=TRUE,I106:I117))</f>
        <v>2041.9326029148592</v>
      </c>
      <c r="J118" s="485">
        <f t="array" ref="J118">SUM(IF($B106:$B117=TRUE,J106:J117))</f>
        <v>3774.7034722860535</v>
      </c>
      <c r="K118" s="485">
        <f t="array" ref="K118">SUM(IF($B106:$B117=TRUE,K106:K117))</f>
        <v>25330.941165080971</v>
      </c>
      <c r="L118" s="485">
        <f t="array" ref="L118">SUM(IF($B106:$B117=TRUE,L106:L117))</f>
        <v>10091.617676883025</v>
      </c>
      <c r="M118" s="485">
        <f t="array" ref="M118">SUM(IF($B106:$B117=TRUE,M106:M117))</f>
        <v>1902.0734009168641</v>
      </c>
      <c r="N118" s="579"/>
      <c r="O118" s="485"/>
      <c r="P118" s="485">
        <f t="array" ref="P118">SUM(IF($B106:$B117=TRUE,P106:P117))</f>
        <v>0</v>
      </c>
      <c r="Q118" s="485">
        <f t="array" ref="Q118">SUM(IF($B106:$B117=TRUE,Q106:Q117))</f>
        <v>33.069339327731633</v>
      </c>
      <c r="R118" s="485">
        <f t="array" ref="R118">SUM(IF($B106:$B117=TRUE,R106:R117))</f>
        <v>354.62629882054574</v>
      </c>
      <c r="S118" s="485">
        <f t="array" ref="S118">SUM(IF($B106:$B117=TRUE,S106:S117))</f>
        <v>37315.317677830753</v>
      </c>
      <c r="T118" s="485">
        <f t="array" ref="T118">SUM(IF($B106:$B117=TRUE,T106:T117))</f>
        <v>2041.9326029148592</v>
      </c>
      <c r="U118" s="485">
        <f t="array" ref="U118">SUM(IF($B106:$B117=TRUE,U106:U117))</f>
        <v>3774.7034722860535</v>
      </c>
      <c r="V118" s="485">
        <f t="array" ref="V118">SUM(IF($B106:$B117=TRUE,V106:V117))</f>
        <v>25330.941165080971</v>
      </c>
      <c r="W118" s="485">
        <f t="array" ref="W118">SUM(IF($B106:$B117=TRUE,W106:W117))</f>
        <v>10091.617676883025</v>
      </c>
      <c r="X118" s="485">
        <f t="array" ref="X118">SUM(IF($B106:$B117=TRUE,X106:X117))</f>
        <v>1902.0734009168641</v>
      </c>
      <c r="AA118" s="429"/>
      <c r="AB118" s="429"/>
      <c r="AC118" s="429"/>
      <c r="AD118" s="429"/>
      <c r="AE118" s="429"/>
      <c r="AF118" s="429"/>
    </row>
    <row r="119" spans="1:41">
      <c r="A119" s="949"/>
      <c r="B119" s="640"/>
      <c r="C119" s="632"/>
      <c r="D119" s="201"/>
      <c r="E119" s="201"/>
      <c r="F119" s="201"/>
      <c r="G119" s="201"/>
      <c r="H119" s="201"/>
      <c r="I119" s="201"/>
      <c r="J119" s="201"/>
      <c r="K119" s="201"/>
      <c r="L119" s="201"/>
      <c r="M119" s="201"/>
      <c r="N119" s="580"/>
      <c r="O119" s="201"/>
      <c r="P119" s="201"/>
      <c r="Q119" s="201"/>
      <c r="R119" s="201"/>
      <c r="S119" s="201"/>
      <c r="T119" s="201"/>
      <c r="U119" s="201"/>
      <c r="V119" s="201"/>
      <c r="W119" s="201"/>
      <c r="X119" s="201"/>
      <c r="AA119" s="201"/>
      <c r="AB119" s="201"/>
      <c r="AC119" s="201"/>
      <c r="AD119" s="201"/>
      <c r="AE119" s="201"/>
      <c r="AF119" s="201"/>
    </row>
    <row r="120" spans="1:41">
      <c r="A120" s="949"/>
      <c r="B120" s="640"/>
      <c r="C120" s="632"/>
      <c r="D120" s="481" t="s">
        <v>447</v>
      </c>
      <c r="E120" s="201"/>
      <c r="F120" s="201"/>
      <c r="G120" s="201"/>
      <c r="H120" s="201"/>
      <c r="I120" s="201"/>
      <c r="J120" s="201"/>
      <c r="K120" s="201"/>
      <c r="L120" s="201"/>
      <c r="M120" s="201"/>
      <c r="N120" s="580"/>
      <c r="O120" s="481" t="s">
        <v>441</v>
      </c>
      <c r="P120" s="201"/>
      <c r="Q120" s="201"/>
      <c r="R120" s="201"/>
      <c r="S120" s="201"/>
      <c r="T120" s="201"/>
      <c r="U120" s="201"/>
      <c r="V120" s="201"/>
      <c r="W120" s="201"/>
      <c r="X120" s="201"/>
      <c r="AA120" s="201"/>
      <c r="AB120" s="201"/>
      <c r="AC120" s="201"/>
      <c r="AD120" s="201"/>
      <c r="AE120" s="201"/>
      <c r="AF120" s="201"/>
    </row>
    <row r="121" spans="1:41" ht="15.75" thickBot="1">
      <c r="A121" s="949"/>
      <c r="B121" s="640"/>
      <c r="C121" s="637"/>
      <c r="D121" s="482"/>
      <c r="E121" s="482" t="s">
        <v>1</v>
      </c>
      <c r="F121" s="482" t="s">
        <v>15</v>
      </c>
      <c r="G121" s="483" t="s">
        <v>2</v>
      </c>
      <c r="H121" s="483" t="s">
        <v>43</v>
      </c>
      <c r="I121" s="483" t="s">
        <v>25</v>
      </c>
      <c r="J121" s="483" t="s">
        <v>26</v>
      </c>
      <c r="K121" s="483" t="s">
        <v>27</v>
      </c>
      <c r="L121" s="483" t="s">
        <v>39</v>
      </c>
      <c r="M121" s="483" t="s">
        <v>3</v>
      </c>
      <c r="N121" s="581"/>
      <c r="O121" s="482"/>
      <c r="P121" s="482" t="s">
        <v>1</v>
      </c>
      <c r="Q121" s="482" t="s">
        <v>15</v>
      </c>
      <c r="R121" s="483" t="s">
        <v>2</v>
      </c>
      <c r="S121" s="483" t="s">
        <v>43</v>
      </c>
      <c r="T121" s="483" t="s">
        <v>25</v>
      </c>
      <c r="U121" s="483" t="s">
        <v>26</v>
      </c>
      <c r="V121" s="483" t="s">
        <v>27</v>
      </c>
      <c r="W121" s="483" t="s">
        <v>39</v>
      </c>
      <c r="X121" s="483" t="s">
        <v>3</v>
      </c>
      <c r="AA121" s="201"/>
      <c r="AB121" s="201"/>
      <c r="AC121" s="201"/>
      <c r="AD121" s="201"/>
      <c r="AE121" s="201"/>
      <c r="AF121" s="201"/>
    </row>
    <row r="122" spans="1:41" ht="15.75" thickTop="1">
      <c r="A122" s="949"/>
      <c r="B122" s="640" t="b">
        <f>IF(AND(C134=C122,D134=D122),TRUE,FALSE)</f>
        <v>0</v>
      </c>
      <c r="C122" s="636" t="str">
        <f>$C$30</f>
        <v>US Avg Elec</v>
      </c>
      <c r="D122" s="429" t="str">
        <f>D106</f>
        <v>5% Best</v>
      </c>
      <c r="E122" s="429"/>
      <c r="F122" s="429">
        <f>Valuation!$C$9 * USD_2000/USD_BaseYear</f>
        <v>33.069339327731633</v>
      </c>
      <c r="G122" s="803">
        <v>53.612550077543098</v>
      </c>
      <c r="H122" s="803">
        <v>790.97527522151699</v>
      </c>
      <c r="I122" s="803">
        <v>1580.0107007950733</v>
      </c>
      <c r="J122" s="803">
        <v>647.57733731195856</v>
      </c>
      <c r="K122" s="803">
        <v>3931.9521589491696</v>
      </c>
      <c r="L122" s="803">
        <v>1445.7369056937025</v>
      </c>
      <c r="M122" s="803">
        <v>1359.6614697968007</v>
      </c>
      <c r="N122" s="578"/>
      <c r="O122" s="429"/>
      <c r="P122" s="429"/>
      <c r="Q122" s="429">
        <f>Valuation!$C$9 * USD_2000/USD_BaseYear</f>
        <v>33.069339327731633</v>
      </c>
      <c r="R122" s="803">
        <v>62.764799184326371</v>
      </c>
      <c r="S122" s="803">
        <v>764.54901503123187</v>
      </c>
      <c r="T122" s="803">
        <v>1885.9968792742425</v>
      </c>
      <c r="U122" s="803">
        <v>742.28889584945864</v>
      </c>
      <c r="V122" s="803">
        <v>4704.9523743319096</v>
      </c>
      <c r="W122" s="803">
        <v>1534.0440898873205</v>
      </c>
      <c r="X122" s="803">
        <v>1636.0832257334253</v>
      </c>
      <c r="AA122" s="201"/>
      <c r="AB122" s="201"/>
      <c r="AC122" s="201"/>
      <c r="AD122" s="201"/>
      <c r="AE122" s="201"/>
      <c r="AF122" s="201"/>
    </row>
    <row r="123" spans="1:41">
      <c r="A123" s="949"/>
      <c r="B123" s="640" t="b">
        <f>IF(AND(C134=C123,D134=D123),TRUE,FALSE)</f>
        <v>0</v>
      </c>
      <c r="C123" s="636" t="str">
        <f>$C$30</f>
        <v>US Avg Elec</v>
      </c>
      <c r="D123" s="429" t="str">
        <f t="shared" ref="D123:D133" si="73">D107</f>
        <v>50% Median</v>
      </c>
      <c r="E123" s="429"/>
      <c r="F123" s="429">
        <f>Valuation!$C$9 * USD_2000/USD_BaseYear</f>
        <v>33.069339327731633</v>
      </c>
      <c r="G123" s="803">
        <v>434.15695348045949</v>
      </c>
      <c r="H123" s="803">
        <v>92560.176805425785</v>
      </c>
      <c r="I123" s="803">
        <v>1826.7951339329773</v>
      </c>
      <c r="J123" s="803">
        <v>4331.3607739054341</v>
      </c>
      <c r="K123" s="803">
        <v>23370.994955471098</v>
      </c>
      <c r="L123" s="803">
        <v>3034.7144812988372</v>
      </c>
      <c r="M123" s="803">
        <v>1852.8584030088793</v>
      </c>
      <c r="N123" s="578"/>
      <c r="O123" s="429"/>
      <c r="P123" s="429"/>
      <c r="Q123" s="429">
        <f>Valuation!$C$9 * USD_2000/USD_BaseYear</f>
        <v>33.069339327731633</v>
      </c>
      <c r="R123" s="803">
        <v>106.00774000407641</v>
      </c>
      <c r="S123" s="803">
        <v>4327.1362751407196</v>
      </c>
      <c r="T123" s="803">
        <v>1222.4362802553576</v>
      </c>
      <c r="U123" s="803">
        <v>1225.3912372585082</v>
      </c>
      <c r="V123" s="803">
        <v>9295.2687816690595</v>
      </c>
      <c r="W123" s="803">
        <v>6203.5495055622387</v>
      </c>
      <c r="X123" s="803">
        <v>1186.1803011563063</v>
      </c>
      <c r="AA123" s="201"/>
      <c r="AB123" s="201"/>
      <c r="AC123" s="201"/>
      <c r="AD123" s="201"/>
      <c r="AE123" s="201"/>
      <c r="AF123" s="201"/>
    </row>
    <row r="124" spans="1:41">
      <c r="A124" s="949"/>
      <c r="B124" s="640" t="b">
        <f>IF(AND(C134=C124,D134=D124),TRUE,FALSE)</f>
        <v>0</v>
      </c>
      <c r="C124" s="636" t="str">
        <f>$C$30</f>
        <v>US Avg Elec</v>
      </c>
      <c r="D124" s="429" t="str">
        <f t="shared" si="73"/>
        <v>95% Worst</v>
      </c>
      <c r="E124" s="429"/>
      <c r="F124" s="429">
        <f>Valuation!$C$9 * USD_2000/USD_BaseYear</f>
        <v>33.069339327731633</v>
      </c>
      <c r="G124" s="803">
        <v>564.8207752823281</v>
      </c>
      <c r="H124" s="803">
        <v>60477.692728816401</v>
      </c>
      <c r="I124" s="803">
        <v>2870.449295494418</v>
      </c>
      <c r="J124" s="803">
        <v>6251.5841992329488</v>
      </c>
      <c r="K124" s="803">
        <v>47586.779252699998</v>
      </c>
      <c r="L124" s="803">
        <v>14618.610272124723</v>
      </c>
      <c r="M124" s="803">
        <v>2872.0647150822424</v>
      </c>
      <c r="N124" s="578"/>
      <c r="O124" s="429"/>
      <c r="P124" s="429"/>
      <c r="Q124" s="429">
        <f>Valuation!$C$9 * USD_2000/USD_BaseYear</f>
        <v>33.069339327731633</v>
      </c>
      <c r="R124" s="803">
        <v>496.87013933163189</v>
      </c>
      <c r="S124" s="803">
        <v>37085.368049496799</v>
      </c>
      <c r="T124" s="803">
        <v>2955.544498854279</v>
      </c>
      <c r="U124" s="803">
        <v>5515.5472753788845</v>
      </c>
      <c r="V124" s="803">
        <v>41109.377532878003</v>
      </c>
      <c r="W124" s="803">
        <v>15211.625052718209</v>
      </c>
      <c r="X124" s="803">
        <v>2957.013841249614</v>
      </c>
      <c r="AA124" s="201"/>
      <c r="AB124" s="201"/>
      <c r="AC124" s="201"/>
      <c r="AD124" s="201"/>
      <c r="AE124" s="201"/>
      <c r="AF124" s="201"/>
    </row>
    <row r="125" spans="1:41">
      <c r="A125" s="949"/>
      <c r="B125" s="640" t="b">
        <f>IF(AND(C134=C125,D134=D125),TRUE,FALSE)</f>
        <v>1</v>
      </c>
      <c r="C125" s="636" t="str">
        <f>$C$30</f>
        <v>US Avg Elec</v>
      </c>
      <c r="D125" s="429" t="str">
        <f t="shared" si="73"/>
        <v>Weighted Average</v>
      </c>
      <c r="E125" s="429"/>
      <c r="F125" s="429">
        <f>Valuation!$C$9 * USD_2000/USD_BaseYear</f>
        <v>33.069339327731633</v>
      </c>
      <c r="G125" s="803">
        <v>354.62629882054574</v>
      </c>
      <c r="H125" s="803">
        <v>37315.317677830753</v>
      </c>
      <c r="I125" s="803">
        <v>2041.9326029148592</v>
      </c>
      <c r="J125" s="803">
        <v>3774.7034722860535</v>
      </c>
      <c r="K125" s="803">
        <v>25330.941165080971</v>
      </c>
      <c r="L125" s="803">
        <v>10091.617676883025</v>
      </c>
      <c r="M125" s="803">
        <v>1902.0734009168641</v>
      </c>
      <c r="N125" s="578"/>
      <c r="O125" s="429"/>
      <c r="P125" s="429"/>
      <c r="Q125" s="429">
        <f>Valuation!$C$9 * USD_2000/USD_BaseYear</f>
        <v>33.069339327731633</v>
      </c>
      <c r="R125" s="803">
        <v>354.62629882054574</v>
      </c>
      <c r="S125" s="803">
        <v>37315.317677830753</v>
      </c>
      <c r="T125" s="803">
        <v>2041.9326029148592</v>
      </c>
      <c r="U125" s="803">
        <v>3774.7034722860535</v>
      </c>
      <c r="V125" s="803">
        <v>25330.941165080971</v>
      </c>
      <c r="W125" s="803">
        <v>10091.617676883025</v>
      </c>
      <c r="X125" s="803">
        <v>1902.0734009168641</v>
      </c>
      <c r="AA125" s="201"/>
      <c r="AB125" s="201"/>
      <c r="AC125" s="201"/>
      <c r="AD125" s="201"/>
      <c r="AE125" s="201"/>
      <c r="AF125" s="201"/>
    </row>
    <row r="126" spans="1:41">
      <c r="A126" s="949"/>
      <c r="B126" s="640" t="b">
        <f>IF(AND(C134=C126,D134=D126),TRUE,FALSE)</f>
        <v>0</v>
      </c>
      <c r="C126" s="636" t="str">
        <f>$C$31</f>
        <v>5% Elec Source</v>
      </c>
      <c r="D126" s="429" t="str">
        <f t="shared" si="73"/>
        <v>5% Best</v>
      </c>
      <c r="E126" s="429"/>
      <c r="F126" s="429">
        <f>Valuation!$C$9 * USD_2000/USD_BaseYear</f>
        <v>33.069339327731633</v>
      </c>
      <c r="G126" s="803">
        <v>42.905342355584118</v>
      </c>
      <c r="H126" s="803">
        <v>920.74013425263399</v>
      </c>
      <c r="I126" s="803">
        <v>1534.8235198845748</v>
      </c>
      <c r="J126" s="803">
        <v>539.68059958673302</v>
      </c>
      <c r="K126" s="803">
        <v>3376.21640045612</v>
      </c>
      <c r="L126" s="803">
        <v>1520.9449608278587</v>
      </c>
      <c r="M126" s="803">
        <v>1260.9216090217144</v>
      </c>
      <c r="N126" s="578"/>
      <c r="O126" s="429"/>
      <c r="P126" s="429"/>
      <c r="Q126" s="429">
        <f>Valuation!$C$9 * USD_2000/USD_BaseYear</f>
        <v>33.069339327731633</v>
      </c>
      <c r="R126" s="802">
        <v>0</v>
      </c>
      <c r="S126" s="802">
        <v>0</v>
      </c>
      <c r="T126" s="802">
        <v>0</v>
      </c>
      <c r="U126" s="802">
        <v>0</v>
      </c>
      <c r="V126" s="802">
        <v>0</v>
      </c>
      <c r="W126" s="802">
        <v>0</v>
      </c>
      <c r="X126" s="802">
        <v>0</v>
      </c>
      <c r="AA126" s="201"/>
      <c r="AB126" s="201"/>
      <c r="AC126" s="201"/>
      <c r="AD126" s="201"/>
      <c r="AE126" s="201"/>
      <c r="AF126" s="201"/>
    </row>
    <row r="127" spans="1:41">
      <c r="A127" s="949"/>
      <c r="B127" s="640" t="b">
        <f>IF(AND(C134=C127,D134=D127),TRUE,FALSE)</f>
        <v>0</v>
      </c>
      <c r="C127" s="636" t="str">
        <f>$C$31</f>
        <v>5% Elec Source</v>
      </c>
      <c r="D127" s="429" t="str">
        <f t="shared" si="73"/>
        <v>50% Median</v>
      </c>
      <c r="E127" s="429"/>
      <c r="F127" s="429">
        <f>Valuation!$C$9 * USD_2000/USD_BaseYear</f>
        <v>33.069339327731633</v>
      </c>
      <c r="G127" s="803">
        <v>102.15674490030371</v>
      </c>
      <c r="H127" s="803">
        <v>2922.62301257029</v>
      </c>
      <c r="I127" s="803">
        <v>2142.658658885684</v>
      </c>
      <c r="J127" s="803">
        <v>1173.3705229209804</v>
      </c>
      <c r="K127" s="803">
        <v>7345.4090447023282</v>
      </c>
      <c r="L127" s="803">
        <v>5616.6688559235263</v>
      </c>
      <c r="M127" s="803">
        <v>2002.3700635404027</v>
      </c>
      <c r="N127" s="578"/>
      <c r="O127" s="429"/>
      <c r="P127" s="429"/>
      <c r="Q127" s="429">
        <f>Valuation!$C$9 * USD_2000/USD_BaseYear</f>
        <v>33.069339327731633</v>
      </c>
      <c r="R127" s="802">
        <v>0</v>
      </c>
      <c r="S127" s="802">
        <v>0</v>
      </c>
      <c r="T127" s="802">
        <v>0</v>
      </c>
      <c r="U127" s="802">
        <v>0</v>
      </c>
      <c r="V127" s="802">
        <v>0</v>
      </c>
      <c r="W127" s="802">
        <v>0</v>
      </c>
      <c r="X127" s="802">
        <v>0</v>
      </c>
      <c r="AA127" s="201"/>
      <c r="AB127" s="201"/>
      <c r="AC127" s="201"/>
      <c r="AD127" s="201"/>
      <c r="AE127" s="201"/>
      <c r="AF127" s="201"/>
    </row>
    <row r="128" spans="1:41">
      <c r="A128" s="949"/>
      <c r="B128" s="640" t="b">
        <f>IF(AND(C134=C128,D134=D128),TRUE,FALSE)</f>
        <v>0</v>
      </c>
      <c r="C128" s="636" t="str">
        <f>$C$31</f>
        <v>5% Elec Source</v>
      </c>
      <c r="D128" s="429" t="str">
        <f t="shared" si="73"/>
        <v>95% Worst</v>
      </c>
      <c r="E128" s="429"/>
      <c r="F128" s="429">
        <f>Valuation!$C$9 * USD_2000/USD_BaseYear</f>
        <v>33.069339327731633</v>
      </c>
      <c r="G128" s="803">
        <v>601.97957976541954</v>
      </c>
      <c r="H128" s="803">
        <v>57286.545578818797</v>
      </c>
      <c r="I128" s="803">
        <v>2535.9249848832096</v>
      </c>
      <c r="J128" s="803">
        <v>6323.0165500466555</v>
      </c>
      <c r="K128" s="803">
        <v>50533.400684800297</v>
      </c>
      <c r="L128" s="803">
        <v>14429.519106574307</v>
      </c>
      <c r="M128" s="803">
        <v>2599.7208551173881</v>
      </c>
      <c r="N128" s="578"/>
      <c r="O128" s="429"/>
      <c r="P128" s="429"/>
      <c r="Q128" s="429">
        <f>Valuation!$C$9 * USD_2000/USD_BaseYear</f>
        <v>33.069339327731633</v>
      </c>
      <c r="R128" s="802">
        <v>0</v>
      </c>
      <c r="S128" s="802">
        <v>0</v>
      </c>
      <c r="T128" s="802">
        <v>0</v>
      </c>
      <c r="U128" s="802">
        <v>0</v>
      </c>
      <c r="V128" s="802">
        <v>0</v>
      </c>
      <c r="W128" s="802">
        <v>0</v>
      </c>
      <c r="X128" s="802">
        <v>0</v>
      </c>
      <c r="AA128" s="201"/>
      <c r="AB128" s="201"/>
      <c r="AC128" s="201"/>
      <c r="AD128" s="201"/>
      <c r="AE128" s="201"/>
      <c r="AF128" s="201"/>
    </row>
    <row r="129" spans="1:32">
      <c r="A129" s="949"/>
      <c r="B129" s="640" t="b">
        <f>IF(AND(C134=C129,D134=D129),TRUE,FALSE)</f>
        <v>0</v>
      </c>
      <c r="C129" s="636" t="str">
        <f>$C$31</f>
        <v>5% Elec Source</v>
      </c>
      <c r="D129" s="429" t="str">
        <f t="shared" si="73"/>
        <v>Weighted Average</v>
      </c>
      <c r="E129" s="429"/>
      <c r="F129" s="429">
        <f>Valuation!$C$9 * USD_2000/USD_BaseYear</f>
        <v>33.069339327731633</v>
      </c>
      <c r="G129" s="803">
        <v>354.62629882054574</v>
      </c>
      <c r="H129" s="803">
        <v>37315.317677830753</v>
      </c>
      <c r="I129" s="803">
        <v>2041.9326029148592</v>
      </c>
      <c r="J129" s="803">
        <v>3774.7034722860535</v>
      </c>
      <c r="K129" s="803">
        <v>25330.941165080971</v>
      </c>
      <c r="L129" s="803">
        <v>10091.617676883025</v>
      </c>
      <c r="M129" s="803">
        <v>1902.0734009168641</v>
      </c>
      <c r="N129" s="578"/>
      <c r="O129" s="429"/>
      <c r="P129" s="429"/>
      <c r="Q129" s="429">
        <f>Valuation!$C$9 * USD_2000/USD_BaseYear</f>
        <v>33.069339327731633</v>
      </c>
      <c r="R129" s="804">
        <f t="shared" ref="R129:X129" si="74">G129</f>
        <v>354.62629882054574</v>
      </c>
      <c r="S129" s="804">
        <f t="shared" si="74"/>
        <v>37315.317677830753</v>
      </c>
      <c r="T129" s="804">
        <f t="shared" si="74"/>
        <v>2041.9326029148592</v>
      </c>
      <c r="U129" s="804">
        <f t="shared" si="74"/>
        <v>3774.7034722860535</v>
      </c>
      <c r="V129" s="804">
        <f t="shared" si="74"/>
        <v>25330.941165080971</v>
      </c>
      <c r="W129" s="804">
        <f t="shared" si="74"/>
        <v>10091.617676883025</v>
      </c>
      <c r="X129" s="804">
        <f t="shared" si="74"/>
        <v>1902.0734009168641</v>
      </c>
      <c r="AA129" s="201"/>
      <c r="AB129" s="201"/>
      <c r="AC129" s="201"/>
      <c r="AD129" s="201"/>
      <c r="AE129" s="201"/>
      <c r="AF129" s="201"/>
    </row>
    <row r="130" spans="1:32">
      <c r="A130" s="949"/>
      <c r="B130" s="640" t="b">
        <f>IF(AND(C134=C130,D134=D130),TRUE,FALSE)</f>
        <v>0</v>
      </c>
      <c r="C130" s="636" t="str">
        <f>$C$32</f>
        <v>95% Elec Source</v>
      </c>
      <c r="D130" s="429" t="str">
        <f t="shared" si="73"/>
        <v>5% Best</v>
      </c>
      <c r="E130" s="429"/>
      <c r="F130" s="429">
        <f>Valuation!$C$9 * USD_2000/USD_BaseYear</f>
        <v>33.069339327731633</v>
      </c>
      <c r="G130" s="803">
        <v>88.159601973097722</v>
      </c>
      <c r="H130" s="803">
        <v>1153.9182186002699</v>
      </c>
      <c r="I130" s="803">
        <v>595.89973321934986</v>
      </c>
      <c r="J130" s="803">
        <v>898.6101839343778</v>
      </c>
      <c r="K130" s="803">
        <v>4794.5504422313297</v>
      </c>
      <c r="L130" s="803">
        <v>2403.6689353608313</v>
      </c>
      <c r="M130" s="803">
        <v>568.03282523013479</v>
      </c>
      <c r="N130" s="578"/>
      <c r="O130" s="429"/>
      <c r="P130" s="429"/>
      <c r="Q130" s="429">
        <f>Valuation!$C$9 * USD_2000/USD_BaseYear</f>
        <v>33.069339327731633</v>
      </c>
      <c r="R130" s="803">
        <v>41.959225768843282</v>
      </c>
      <c r="S130" s="803">
        <v>720.89726669296999</v>
      </c>
      <c r="T130" s="803">
        <v>839.99282589450274</v>
      </c>
      <c r="U130" s="803">
        <v>514.40731925864509</v>
      </c>
      <c r="V130" s="803">
        <v>2644.9199288646105</v>
      </c>
      <c r="W130" s="803">
        <v>2325.3076845527698</v>
      </c>
      <c r="X130" s="803">
        <v>808.91640426470519</v>
      </c>
      <c r="AA130" s="201"/>
      <c r="AB130" s="201"/>
      <c r="AC130" s="201"/>
      <c r="AD130" s="201"/>
      <c r="AE130" s="201"/>
      <c r="AF130" s="201"/>
    </row>
    <row r="131" spans="1:32">
      <c r="A131" s="949"/>
      <c r="B131" s="640" t="b">
        <f>IF(AND(C134=C131,D134=D131),TRUE,FALSE)</f>
        <v>0</v>
      </c>
      <c r="C131" s="636" t="str">
        <f>$C$32</f>
        <v>95% Elec Source</v>
      </c>
      <c r="D131" s="429" t="str">
        <f t="shared" si="73"/>
        <v>50% Median</v>
      </c>
      <c r="E131" s="429"/>
      <c r="F131" s="429">
        <f>Valuation!$C$9 * USD_2000/USD_BaseYear</f>
        <v>33.069339327731633</v>
      </c>
      <c r="G131" s="803">
        <v>95.289977768725819</v>
      </c>
      <c r="H131" s="803">
        <v>4444.1995316400998</v>
      </c>
      <c r="I131" s="803">
        <v>2495.0072111022359</v>
      </c>
      <c r="J131" s="803">
        <v>1129.0708587476893</v>
      </c>
      <c r="K131" s="803">
        <v>7717.2858905552393</v>
      </c>
      <c r="L131" s="803">
        <v>5447.7659488138834</v>
      </c>
      <c r="M131" s="803">
        <v>2141.9079727581498</v>
      </c>
      <c r="N131" s="578"/>
      <c r="O131" s="429"/>
      <c r="P131" s="429"/>
      <c r="Q131" s="429">
        <f>Valuation!$C$9 * USD_2000/USD_BaseYear</f>
        <v>33.069339327731633</v>
      </c>
      <c r="R131" s="803">
        <v>114.61420746311632</v>
      </c>
      <c r="S131" s="803">
        <v>7910.01399999564</v>
      </c>
      <c r="T131" s="803">
        <v>2613.5968931881384</v>
      </c>
      <c r="U131" s="803">
        <v>1328.736107933734</v>
      </c>
      <c r="V131" s="803">
        <v>8881.6914989588495</v>
      </c>
      <c r="W131" s="803">
        <v>5669.9956347221105</v>
      </c>
      <c r="X131" s="803">
        <v>2310.8936623448635</v>
      </c>
      <c r="AA131" s="201"/>
      <c r="AB131" s="201"/>
      <c r="AC131" s="201"/>
      <c r="AD131" s="201"/>
      <c r="AE131" s="201"/>
      <c r="AF131" s="201"/>
    </row>
    <row r="132" spans="1:32">
      <c r="A132" s="949"/>
      <c r="B132" s="640" t="b">
        <f>IF(AND(C134=C132,D134=D132),TRUE,FALSE)</f>
        <v>0</v>
      </c>
      <c r="C132" s="636" t="str">
        <f>$C$32</f>
        <v>95% Elec Source</v>
      </c>
      <c r="D132" s="429" t="str">
        <f t="shared" si="73"/>
        <v>95% Worst</v>
      </c>
      <c r="E132" s="429"/>
      <c r="F132" s="429">
        <f>Valuation!$C$9 * USD_2000/USD_BaseYear</f>
        <v>33.069339327731633</v>
      </c>
      <c r="G132" s="803">
        <v>601.97957976541954</v>
      </c>
      <c r="H132" s="803">
        <v>57286.545578818797</v>
      </c>
      <c r="I132" s="803">
        <v>2535.9249848832096</v>
      </c>
      <c r="J132" s="803">
        <v>6323.0165500466555</v>
      </c>
      <c r="K132" s="803">
        <v>50533.400684800297</v>
      </c>
      <c r="L132" s="803">
        <v>14429.519106574307</v>
      </c>
      <c r="M132" s="803">
        <v>2599.7208551173881</v>
      </c>
      <c r="N132" s="578"/>
      <c r="O132" s="429"/>
      <c r="P132" s="429"/>
      <c r="Q132" s="429">
        <f>Valuation!$C$9 * USD_2000/USD_BaseYear</f>
        <v>33.069339327731633</v>
      </c>
      <c r="R132" s="803">
        <v>468.02296933947338</v>
      </c>
      <c r="S132" s="803">
        <v>6050.2704172440308</v>
      </c>
      <c r="T132" s="803">
        <v>7398.7628521742363</v>
      </c>
      <c r="U132" s="803">
        <v>5435.8350430976861</v>
      </c>
      <c r="V132" s="803">
        <v>37947.397540143</v>
      </c>
      <c r="W132" s="803">
        <v>13608.498231184141</v>
      </c>
      <c r="X132" s="803">
        <v>6946.5968813753743</v>
      </c>
      <c r="AA132" s="201"/>
      <c r="AB132" s="201"/>
      <c r="AC132" s="201"/>
      <c r="AD132" s="201"/>
      <c r="AE132" s="201"/>
      <c r="AF132" s="201"/>
    </row>
    <row r="133" spans="1:32">
      <c r="A133" s="949"/>
      <c r="B133" s="640" t="b">
        <f>IF(AND(C134=C133,D134=D133),TRUE,FALSE)</f>
        <v>0</v>
      </c>
      <c r="C133" s="636" t="str">
        <f>$C$32</f>
        <v>95% Elec Source</v>
      </c>
      <c r="D133" s="429" t="str">
        <f t="shared" si="73"/>
        <v>Weighted Average</v>
      </c>
      <c r="E133" s="429"/>
      <c r="F133" s="429">
        <f>Valuation!$C$9 * USD_2000/USD_BaseYear</f>
        <v>33.069339327731633</v>
      </c>
      <c r="G133" s="803">
        <v>354.62629882054574</v>
      </c>
      <c r="H133" s="803">
        <v>37315.317677830753</v>
      </c>
      <c r="I133" s="803">
        <v>2041.9326029148592</v>
      </c>
      <c r="J133" s="803">
        <v>3774.7034722860535</v>
      </c>
      <c r="K133" s="803">
        <v>25330.941165080971</v>
      </c>
      <c r="L133" s="803">
        <v>10091.617676883025</v>
      </c>
      <c r="M133" s="803">
        <v>1902.0734009168641</v>
      </c>
      <c r="N133" s="578"/>
      <c r="O133" s="429"/>
      <c r="P133" s="429"/>
      <c r="Q133" s="429">
        <f>Valuation!$C$9 * USD_2000/USD_BaseYear</f>
        <v>33.069339327731633</v>
      </c>
      <c r="R133" s="803">
        <v>354.62629882054574</v>
      </c>
      <c r="S133" s="803">
        <v>37315.317677830753</v>
      </c>
      <c r="T133" s="803">
        <v>2041.9326029148592</v>
      </c>
      <c r="U133" s="803">
        <v>3774.7034722860535</v>
      </c>
      <c r="V133" s="803">
        <v>25330.941165080971</v>
      </c>
      <c r="W133" s="803">
        <v>10091.617676883025</v>
      </c>
      <c r="X133" s="803">
        <v>1902.0734009168641</v>
      </c>
      <c r="AA133" s="201"/>
      <c r="AB133" s="201"/>
      <c r="AC133" s="201"/>
      <c r="AD133" s="201"/>
      <c r="AE133" s="201"/>
      <c r="AF133" s="201"/>
    </row>
    <row r="134" spans="1:32" s="159" customFormat="1">
      <c r="A134" s="949"/>
      <c r="B134" s="640"/>
      <c r="C134" s="485" t="str">
        <f>SUMMARY!$B$15</f>
        <v>US Avg Elec</v>
      </c>
      <c r="D134" s="485" t="str">
        <f>D118</f>
        <v>Weighted Average</v>
      </c>
      <c r="E134" s="485">
        <f t="array" ref="E134">SUM(IF($B122:$B133=TRUE,E122:E133))</f>
        <v>0</v>
      </c>
      <c r="F134" s="485">
        <f t="array" ref="F134">SUM(IF($B122:$B133=TRUE,F122:F133))</f>
        <v>33.069339327731633</v>
      </c>
      <c r="G134" s="485">
        <f t="array" ref="G134">SUM(IF($B122:$B133=TRUE,G122:G133))</f>
        <v>354.62629882054574</v>
      </c>
      <c r="H134" s="485">
        <f t="array" ref="H134">SUM(IF($B122:$B133=TRUE,H122:H133))</f>
        <v>37315.317677830753</v>
      </c>
      <c r="I134" s="485">
        <f t="array" ref="I134">SUM(IF($B122:$B133=TRUE,I122:I133))</f>
        <v>2041.9326029148592</v>
      </c>
      <c r="J134" s="485">
        <f t="array" ref="J134">SUM(IF($B122:$B133=TRUE,J122:J133))</f>
        <v>3774.7034722860535</v>
      </c>
      <c r="K134" s="485">
        <f t="array" ref="K134">SUM(IF($B122:$B133=TRUE,K122:K133))</f>
        <v>25330.941165080971</v>
      </c>
      <c r="L134" s="485">
        <f t="array" ref="L134">SUM(IF($B122:$B133=TRUE,L122:L133))</f>
        <v>10091.617676883025</v>
      </c>
      <c r="M134" s="485">
        <f t="array" ref="M134">SUM(IF($B122:$B133=TRUE,M122:M133))</f>
        <v>1902.0734009168641</v>
      </c>
      <c r="N134" s="579"/>
      <c r="O134" s="485"/>
      <c r="P134" s="485">
        <f t="array" ref="P134">SUM(IF($B122:$B133=TRUE,P122:P133))</f>
        <v>0</v>
      </c>
      <c r="Q134" s="485">
        <f t="array" ref="Q134">SUM(IF($B122:$B133=TRUE,Q122:Q133))</f>
        <v>33.069339327731633</v>
      </c>
      <c r="R134" s="485">
        <f t="array" ref="R134">SUM(IF($B122:$B133=TRUE,R122:R133))</f>
        <v>354.62629882054574</v>
      </c>
      <c r="S134" s="485">
        <f t="array" ref="S134">SUM(IF($B122:$B133=TRUE,S122:S133))</f>
        <v>37315.317677830753</v>
      </c>
      <c r="T134" s="485">
        <f t="array" ref="T134">SUM(IF($B122:$B133=TRUE,T122:T133))</f>
        <v>2041.9326029148592</v>
      </c>
      <c r="U134" s="485">
        <f t="array" ref="U134">SUM(IF($B122:$B133=TRUE,U122:U133))</f>
        <v>3774.7034722860535</v>
      </c>
      <c r="V134" s="485">
        <f t="array" ref="V134">SUM(IF($B122:$B133=TRUE,V122:V133))</f>
        <v>25330.941165080971</v>
      </c>
      <c r="W134" s="485">
        <f t="array" ref="W134">SUM(IF($B122:$B133=TRUE,W122:W133))</f>
        <v>10091.617676883025</v>
      </c>
      <c r="X134" s="485">
        <f t="array" ref="X134">SUM(IF($B122:$B133=TRUE,X122:X133))</f>
        <v>1902.0734009168641</v>
      </c>
      <c r="AA134" s="429"/>
      <c r="AB134" s="429"/>
      <c r="AC134" s="429"/>
      <c r="AD134" s="429"/>
      <c r="AE134" s="429"/>
      <c r="AF134" s="429"/>
    </row>
    <row r="135" spans="1:32">
      <c r="A135" s="949"/>
      <c r="B135" s="640"/>
      <c r="C135" s="632"/>
      <c r="D135" s="201"/>
      <c r="E135" s="201"/>
      <c r="F135" s="201"/>
      <c r="G135" s="201"/>
      <c r="H135" s="201"/>
      <c r="I135" s="201"/>
      <c r="J135" s="201"/>
      <c r="K135" s="201"/>
      <c r="L135" s="201"/>
      <c r="M135" s="201"/>
      <c r="N135" s="580"/>
      <c r="O135" s="201"/>
      <c r="P135" s="201"/>
      <c r="Q135" s="201"/>
      <c r="R135" s="201"/>
      <c r="S135" s="201"/>
      <c r="T135" s="201"/>
      <c r="U135" s="201"/>
      <c r="V135" s="201"/>
      <c r="W135" s="201"/>
      <c r="X135" s="201"/>
      <c r="AA135" s="201"/>
      <c r="AB135" s="201"/>
      <c r="AC135" s="201"/>
      <c r="AD135" s="201"/>
      <c r="AE135" s="201"/>
      <c r="AF135" s="201"/>
    </row>
    <row r="136" spans="1:32">
      <c r="A136" s="949"/>
      <c r="B136" s="640"/>
      <c r="C136" s="632"/>
      <c r="D136" s="481" t="s">
        <v>449</v>
      </c>
      <c r="E136" s="201"/>
      <c r="F136" s="201"/>
      <c r="G136" s="201"/>
      <c r="H136" s="201"/>
      <c r="I136" s="201"/>
      <c r="J136" s="201"/>
      <c r="K136" s="201"/>
      <c r="L136" s="201"/>
      <c r="M136" s="201"/>
      <c r="N136" s="580"/>
      <c r="O136" s="481" t="s">
        <v>442</v>
      </c>
      <c r="P136" s="201"/>
      <c r="Q136" s="201"/>
      <c r="R136" s="201"/>
      <c r="S136" s="201"/>
      <c r="T136" s="201"/>
      <c r="U136" s="201"/>
      <c r="V136" s="201"/>
      <c r="W136" s="201"/>
      <c r="X136" s="201"/>
      <c r="AA136" s="201"/>
      <c r="AB136" s="201"/>
      <c r="AC136" s="201"/>
      <c r="AD136" s="201"/>
      <c r="AE136" s="201"/>
      <c r="AF136" s="201"/>
    </row>
    <row r="137" spans="1:32" ht="15.75" thickBot="1">
      <c r="A137" s="949"/>
      <c r="B137" s="640"/>
      <c r="C137" s="637"/>
      <c r="D137" s="482"/>
      <c r="E137" s="482" t="s">
        <v>1</v>
      </c>
      <c r="F137" s="482" t="s">
        <v>15</v>
      </c>
      <c r="G137" s="483" t="s">
        <v>2</v>
      </c>
      <c r="H137" s="483" t="s">
        <v>43</v>
      </c>
      <c r="I137" s="483" t="s">
        <v>25</v>
      </c>
      <c r="J137" s="483" t="s">
        <v>26</v>
      </c>
      <c r="K137" s="483" t="s">
        <v>27</v>
      </c>
      <c r="L137" s="483" t="s">
        <v>39</v>
      </c>
      <c r="M137" s="483" t="s">
        <v>3</v>
      </c>
      <c r="N137" s="581"/>
      <c r="O137" s="482"/>
      <c r="P137" s="482" t="s">
        <v>1</v>
      </c>
      <c r="Q137" s="482" t="s">
        <v>15</v>
      </c>
      <c r="R137" s="483" t="s">
        <v>2</v>
      </c>
      <c r="S137" s="483" t="s">
        <v>43</v>
      </c>
      <c r="T137" s="483" t="s">
        <v>25</v>
      </c>
      <c r="U137" s="483" t="s">
        <v>26</v>
      </c>
      <c r="V137" s="483" t="s">
        <v>27</v>
      </c>
      <c r="W137" s="483" t="s">
        <v>39</v>
      </c>
      <c r="X137" s="483" t="s">
        <v>3</v>
      </c>
      <c r="AA137" s="201"/>
      <c r="AB137" s="201"/>
      <c r="AC137" s="201"/>
      <c r="AD137" s="201"/>
      <c r="AE137" s="201"/>
      <c r="AF137" s="201"/>
    </row>
    <row r="138" spans="1:32" ht="15.75" thickTop="1">
      <c r="A138" s="949"/>
      <c r="B138" s="640" t="b">
        <f>IF(AND(C150=C138,D150=D138),TRUE,FALSE)</f>
        <v>0</v>
      </c>
      <c r="C138" s="636" t="str">
        <f>$C$30</f>
        <v>US Avg Elec</v>
      </c>
      <c r="D138" s="429" t="str">
        <f>D122</f>
        <v>5% Best</v>
      </c>
      <c r="E138" s="429"/>
      <c r="F138" s="429">
        <f>Valuation!$C$9 * USD_2000/USD_BaseYear</f>
        <v>33.069339327731633</v>
      </c>
      <c r="G138" s="803">
        <v>53.612550077543098</v>
      </c>
      <c r="H138" s="803">
        <v>790.97527522151699</v>
      </c>
      <c r="I138" s="803">
        <v>1580.0107007950733</v>
      </c>
      <c r="J138" s="803">
        <v>647.57733731195856</v>
      </c>
      <c r="K138" s="803">
        <v>3931.9521589491696</v>
      </c>
      <c r="L138" s="803">
        <v>1445.7369056937025</v>
      </c>
      <c r="M138" s="803">
        <v>1359.6614697968007</v>
      </c>
      <c r="N138" s="578"/>
      <c r="O138" s="429"/>
      <c r="P138" s="429"/>
      <c r="Q138" s="429">
        <f>Valuation!$C$9 * USD_2000/USD_BaseYear</f>
        <v>33.069339327731633</v>
      </c>
      <c r="R138" s="803">
        <v>62.764799184326371</v>
      </c>
      <c r="S138" s="803">
        <v>764.54901503123187</v>
      </c>
      <c r="T138" s="803">
        <v>1885.9968792742425</v>
      </c>
      <c r="U138" s="803">
        <v>742.28889584945864</v>
      </c>
      <c r="V138" s="803">
        <v>4704.9523743319096</v>
      </c>
      <c r="W138" s="803">
        <v>1534.0440898873205</v>
      </c>
      <c r="X138" s="803">
        <v>1636.0832257334253</v>
      </c>
      <c r="AA138" s="201"/>
      <c r="AB138" s="201"/>
      <c r="AC138" s="201"/>
      <c r="AD138" s="201"/>
      <c r="AE138" s="201"/>
      <c r="AF138" s="201"/>
    </row>
    <row r="139" spans="1:32">
      <c r="A139" s="949"/>
      <c r="B139" s="640" t="b">
        <f>IF(AND(C150=C139,D150=D139),TRUE,FALSE)</f>
        <v>0</v>
      </c>
      <c r="C139" s="636" t="str">
        <f>$C$30</f>
        <v>US Avg Elec</v>
      </c>
      <c r="D139" s="429" t="str">
        <f t="shared" ref="D139:D149" si="75">D123</f>
        <v>50% Median</v>
      </c>
      <c r="E139" s="429"/>
      <c r="F139" s="429">
        <f>Valuation!$C$9 * USD_2000/USD_BaseYear</f>
        <v>33.069339327731633</v>
      </c>
      <c r="G139" s="803">
        <v>434.15695348045949</v>
      </c>
      <c r="H139" s="803">
        <v>92560.176805425785</v>
      </c>
      <c r="I139" s="803">
        <v>1826.7951339329773</v>
      </c>
      <c r="J139" s="803">
        <v>4331.3607739054341</v>
      </c>
      <c r="K139" s="803">
        <v>23370.994955471098</v>
      </c>
      <c r="L139" s="803">
        <v>3034.7144812988372</v>
      </c>
      <c r="M139" s="803">
        <v>1852.8584030088793</v>
      </c>
      <c r="N139" s="578"/>
      <c r="O139" s="429"/>
      <c r="P139" s="429"/>
      <c r="Q139" s="429">
        <f>Valuation!$C$9 * USD_2000/USD_BaseYear</f>
        <v>33.069339327731633</v>
      </c>
      <c r="R139" s="803">
        <v>106.00774000407641</v>
      </c>
      <c r="S139" s="803">
        <v>4327.1362751407196</v>
      </c>
      <c r="T139" s="803">
        <v>1222.4362802553576</v>
      </c>
      <c r="U139" s="803">
        <v>1225.3912372585082</v>
      </c>
      <c r="V139" s="803">
        <v>9295.2687816690595</v>
      </c>
      <c r="W139" s="803">
        <v>6203.5495055622387</v>
      </c>
      <c r="X139" s="803">
        <v>1186.1803011563063</v>
      </c>
      <c r="AA139" s="201"/>
      <c r="AB139" s="201"/>
      <c r="AC139" s="201"/>
      <c r="AD139" s="201"/>
      <c r="AE139" s="201"/>
      <c r="AF139" s="201"/>
    </row>
    <row r="140" spans="1:32">
      <c r="A140" s="949"/>
      <c r="B140" s="640" t="b">
        <f>IF(AND(C150=C140,D150=D140),TRUE,FALSE)</f>
        <v>0</v>
      </c>
      <c r="C140" s="636" t="str">
        <f>$C$30</f>
        <v>US Avg Elec</v>
      </c>
      <c r="D140" s="429" t="str">
        <f t="shared" si="75"/>
        <v>95% Worst</v>
      </c>
      <c r="E140" s="429"/>
      <c r="F140" s="429">
        <f>Valuation!$C$9 * USD_2000/USD_BaseYear</f>
        <v>33.069339327731633</v>
      </c>
      <c r="G140" s="803">
        <v>564.8207752823281</v>
      </c>
      <c r="H140" s="803">
        <v>60477.692728816401</v>
      </c>
      <c r="I140" s="803">
        <v>2870.449295494418</v>
      </c>
      <c r="J140" s="803">
        <v>6251.5841992329488</v>
      </c>
      <c r="K140" s="803">
        <v>47586.779252699998</v>
      </c>
      <c r="L140" s="803">
        <v>14618.610272124723</v>
      </c>
      <c r="M140" s="803">
        <v>2872.0647150822424</v>
      </c>
      <c r="N140" s="578"/>
      <c r="O140" s="429"/>
      <c r="P140" s="429"/>
      <c r="Q140" s="429">
        <f>Valuation!$C$9 * USD_2000/USD_BaseYear</f>
        <v>33.069339327731633</v>
      </c>
      <c r="R140" s="803">
        <v>496.87013933163189</v>
      </c>
      <c r="S140" s="803">
        <v>37085.368049496799</v>
      </c>
      <c r="T140" s="803">
        <v>2955.544498854279</v>
      </c>
      <c r="U140" s="803">
        <v>5515.5472753788845</v>
      </c>
      <c r="V140" s="803">
        <v>41109.377532878003</v>
      </c>
      <c r="W140" s="803">
        <v>15211.625052718209</v>
      </c>
      <c r="X140" s="803">
        <v>2957.013841249614</v>
      </c>
      <c r="AA140" s="201"/>
      <c r="AB140" s="201"/>
      <c r="AC140" s="201"/>
      <c r="AD140" s="201"/>
      <c r="AE140" s="201"/>
      <c r="AF140" s="201"/>
    </row>
    <row r="141" spans="1:32">
      <c r="A141" s="949"/>
      <c r="B141" s="640" t="b">
        <f>IF(AND(C150=C141,D150=D141),TRUE,FALSE)</f>
        <v>1</v>
      </c>
      <c r="C141" s="636" t="str">
        <f>$C$30</f>
        <v>US Avg Elec</v>
      </c>
      <c r="D141" s="429" t="str">
        <f t="shared" si="75"/>
        <v>Weighted Average</v>
      </c>
      <c r="E141" s="429"/>
      <c r="F141" s="429">
        <f>Valuation!$C$9 * USD_2000/USD_BaseYear</f>
        <v>33.069339327731633</v>
      </c>
      <c r="G141" s="803">
        <v>354.62629882054574</v>
      </c>
      <c r="H141" s="803">
        <v>37315.317677830753</v>
      </c>
      <c r="I141" s="803">
        <v>2041.9326029148592</v>
      </c>
      <c r="J141" s="803">
        <v>3774.7034722860535</v>
      </c>
      <c r="K141" s="803">
        <v>25330.941165080971</v>
      </c>
      <c r="L141" s="803">
        <v>10091.617676883025</v>
      </c>
      <c r="M141" s="803">
        <v>1902.0734009168641</v>
      </c>
      <c r="N141" s="578"/>
      <c r="O141" s="429"/>
      <c r="P141" s="429"/>
      <c r="Q141" s="429">
        <f>Valuation!$C$9 * USD_2000/USD_BaseYear</f>
        <v>33.069339327731633</v>
      </c>
      <c r="R141" s="803">
        <v>354.62629882054574</v>
      </c>
      <c r="S141" s="803">
        <v>37315.317677830753</v>
      </c>
      <c r="T141" s="803">
        <v>2041.9326029148592</v>
      </c>
      <c r="U141" s="803">
        <v>3774.7034722860535</v>
      </c>
      <c r="V141" s="803">
        <v>25330.941165080971</v>
      </c>
      <c r="W141" s="803">
        <v>10091.617676883025</v>
      </c>
      <c r="X141" s="803">
        <v>1902.0734009168641</v>
      </c>
      <c r="AA141" s="201"/>
      <c r="AB141" s="201"/>
      <c r="AC141" s="201"/>
      <c r="AD141" s="201"/>
      <c r="AE141" s="201"/>
      <c r="AF141" s="201"/>
    </row>
    <row r="142" spans="1:32">
      <c r="A142" s="949"/>
      <c r="B142" s="640" t="b">
        <f>IF(AND(C150=C142,D150=D142),TRUE,FALSE)</f>
        <v>0</v>
      </c>
      <c r="C142" s="636" t="str">
        <f>$C$31</f>
        <v>5% Elec Source</v>
      </c>
      <c r="D142" s="429" t="str">
        <f t="shared" si="75"/>
        <v>5% Best</v>
      </c>
      <c r="E142" s="429"/>
      <c r="F142" s="429">
        <f>Valuation!$C$9 * USD_2000/USD_BaseYear</f>
        <v>33.069339327731633</v>
      </c>
      <c r="G142" s="803">
        <v>42.905342355584118</v>
      </c>
      <c r="H142" s="803">
        <v>920.74013425263399</v>
      </c>
      <c r="I142" s="803">
        <v>1534.8235198845748</v>
      </c>
      <c r="J142" s="803">
        <v>539.68059958673302</v>
      </c>
      <c r="K142" s="803">
        <v>3376.21640045612</v>
      </c>
      <c r="L142" s="803">
        <v>1520.9449608278587</v>
      </c>
      <c r="M142" s="803">
        <v>1260.9216090217144</v>
      </c>
      <c r="N142" s="578"/>
      <c r="O142" s="429"/>
      <c r="P142" s="429"/>
      <c r="Q142" s="429">
        <f>Valuation!$C$9 * USD_2000/USD_BaseYear</f>
        <v>33.069339327731633</v>
      </c>
      <c r="R142" s="802">
        <v>0</v>
      </c>
      <c r="S142" s="802">
        <v>0</v>
      </c>
      <c r="T142" s="802">
        <v>0</v>
      </c>
      <c r="U142" s="802">
        <v>0</v>
      </c>
      <c r="V142" s="802">
        <v>0</v>
      </c>
      <c r="W142" s="802">
        <v>0</v>
      </c>
      <c r="X142" s="802">
        <v>0</v>
      </c>
      <c r="AA142" s="201"/>
      <c r="AB142" s="201"/>
      <c r="AC142" s="201"/>
      <c r="AD142" s="201"/>
      <c r="AE142" s="201"/>
      <c r="AF142" s="201"/>
    </row>
    <row r="143" spans="1:32">
      <c r="A143" s="949"/>
      <c r="B143" s="640" t="b">
        <f>IF(AND(C150=C143,D150=D143),TRUE,FALSE)</f>
        <v>0</v>
      </c>
      <c r="C143" s="636" t="str">
        <f>$C$31</f>
        <v>5% Elec Source</v>
      </c>
      <c r="D143" s="429" t="str">
        <f t="shared" si="75"/>
        <v>50% Median</v>
      </c>
      <c r="E143" s="429"/>
      <c r="F143" s="429">
        <f>Valuation!$C$9 * USD_2000/USD_BaseYear</f>
        <v>33.069339327731633</v>
      </c>
      <c r="G143" s="803">
        <v>102.15674490030371</v>
      </c>
      <c r="H143" s="803">
        <v>2922.62301257029</v>
      </c>
      <c r="I143" s="803">
        <v>2142.658658885684</v>
      </c>
      <c r="J143" s="803">
        <v>1173.3705229209804</v>
      </c>
      <c r="K143" s="803">
        <v>7345.4090447023282</v>
      </c>
      <c r="L143" s="803">
        <v>5616.6688559235263</v>
      </c>
      <c r="M143" s="803">
        <v>2002.3700635404027</v>
      </c>
      <c r="N143" s="578"/>
      <c r="O143" s="429"/>
      <c r="P143" s="429"/>
      <c r="Q143" s="429">
        <f>Valuation!$C$9 * USD_2000/USD_BaseYear</f>
        <v>33.069339327731633</v>
      </c>
      <c r="R143" s="802">
        <v>0</v>
      </c>
      <c r="S143" s="802">
        <v>0</v>
      </c>
      <c r="T143" s="802">
        <v>0</v>
      </c>
      <c r="U143" s="802">
        <v>0</v>
      </c>
      <c r="V143" s="802">
        <v>0</v>
      </c>
      <c r="W143" s="802">
        <v>0</v>
      </c>
      <c r="X143" s="802">
        <v>0</v>
      </c>
      <c r="AA143" s="201"/>
      <c r="AB143" s="201"/>
      <c r="AC143" s="201"/>
      <c r="AD143" s="201"/>
      <c r="AE143" s="201"/>
      <c r="AF143" s="201"/>
    </row>
    <row r="144" spans="1:32">
      <c r="A144" s="949"/>
      <c r="B144" s="640" t="b">
        <f>IF(AND(C150=C144,D150=D144),TRUE,FALSE)</f>
        <v>0</v>
      </c>
      <c r="C144" s="636" t="str">
        <f>$C$31</f>
        <v>5% Elec Source</v>
      </c>
      <c r="D144" s="429" t="str">
        <f t="shared" si="75"/>
        <v>95% Worst</v>
      </c>
      <c r="E144" s="429"/>
      <c r="F144" s="429">
        <f>Valuation!$C$9 * USD_2000/USD_BaseYear</f>
        <v>33.069339327731633</v>
      </c>
      <c r="G144" s="803">
        <v>601.97957976541954</v>
      </c>
      <c r="H144" s="803">
        <v>57286.545578818797</v>
      </c>
      <c r="I144" s="803">
        <v>2535.9249848832096</v>
      </c>
      <c r="J144" s="803">
        <v>6323.0165500466555</v>
      </c>
      <c r="K144" s="803">
        <v>50533.400684800297</v>
      </c>
      <c r="L144" s="803">
        <v>14429.519106574307</v>
      </c>
      <c r="M144" s="803">
        <v>2599.7208551173881</v>
      </c>
      <c r="N144" s="578"/>
      <c r="O144" s="429"/>
      <c r="P144" s="429"/>
      <c r="Q144" s="429">
        <f>Valuation!$C$9 * USD_2000/USD_BaseYear</f>
        <v>33.069339327731633</v>
      </c>
      <c r="R144" s="802">
        <v>0</v>
      </c>
      <c r="S144" s="802">
        <v>0</v>
      </c>
      <c r="T144" s="802">
        <v>0</v>
      </c>
      <c r="U144" s="802">
        <v>0</v>
      </c>
      <c r="V144" s="802">
        <v>0</v>
      </c>
      <c r="W144" s="802">
        <v>0</v>
      </c>
      <c r="X144" s="802">
        <v>0</v>
      </c>
      <c r="AA144" s="201"/>
      <c r="AB144" s="201"/>
      <c r="AC144" s="201"/>
      <c r="AD144" s="201"/>
      <c r="AE144" s="201"/>
      <c r="AF144" s="201"/>
    </row>
    <row r="145" spans="1:39">
      <c r="A145" s="949"/>
      <c r="B145" s="640" t="b">
        <f>IF(AND(C150=C145,D150=D145),TRUE,FALSE)</f>
        <v>0</v>
      </c>
      <c r="C145" s="636" t="str">
        <f>$C$31</f>
        <v>5% Elec Source</v>
      </c>
      <c r="D145" s="429" t="str">
        <f t="shared" si="75"/>
        <v>Weighted Average</v>
      </c>
      <c r="E145" s="429"/>
      <c r="F145" s="429">
        <f>Valuation!$C$9 * USD_2000/USD_BaseYear</f>
        <v>33.069339327731633</v>
      </c>
      <c r="G145" s="803">
        <v>354.62629882054574</v>
      </c>
      <c r="H145" s="803">
        <v>37315.317677830753</v>
      </c>
      <c r="I145" s="803">
        <v>2041.9326029148592</v>
      </c>
      <c r="J145" s="803">
        <v>3774.7034722860535</v>
      </c>
      <c r="K145" s="803">
        <v>25330.941165080971</v>
      </c>
      <c r="L145" s="803">
        <v>10091.617676883025</v>
      </c>
      <c r="M145" s="803">
        <v>1902.0734009168641</v>
      </c>
      <c r="N145" s="578"/>
      <c r="O145" s="429"/>
      <c r="P145" s="429"/>
      <c r="Q145" s="429">
        <f>Valuation!$C$9 * USD_2000/USD_BaseYear</f>
        <v>33.069339327731633</v>
      </c>
      <c r="R145" s="804">
        <f t="shared" ref="R145:X145" si="76">G145</f>
        <v>354.62629882054574</v>
      </c>
      <c r="S145" s="804">
        <f t="shared" si="76"/>
        <v>37315.317677830753</v>
      </c>
      <c r="T145" s="804">
        <f t="shared" si="76"/>
        <v>2041.9326029148592</v>
      </c>
      <c r="U145" s="804">
        <f t="shared" si="76"/>
        <v>3774.7034722860535</v>
      </c>
      <c r="V145" s="804">
        <f t="shared" si="76"/>
        <v>25330.941165080971</v>
      </c>
      <c r="W145" s="804">
        <f t="shared" si="76"/>
        <v>10091.617676883025</v>
      </c>
      <c r="X145" s="804">
        <f t="shared" si="76"/>
        <v>1902.0734009168641</v>
      </c>
      <c r="AA145" s="201"/>
      <c r="AB145" s="201"/>
      <c r="AC145" s="201"/>
      <c r="AD145" s="201"/>
      <c r="AE145" s="201"/>
      <c r="AF145" s="201"/>
    </row>
    <row r="146" spans="1:39">
      <c r="A146" s="949"/>
      <c r="B146" s="640" t="b">
        <f>IF(AND(C150=C146,D150=D146),TRUE,FALSE)</f>
        <v>0</v>
      </c>
      <c r="C146" s="636" t="str">
        <f>$C$32</f>
        <v>95% Elec Source</v>
      </c>
      <c r="D146" s="429" t="str">
        <f t="shared" si="75"/>
        <v>5% Best</v>
      </c>
      <c r="E146" s="429"/>
      <c r="F146" s="429">
        <f>Valuation!$C$9 * USD_2000/USD_BaseYear</f>
        <v>33.069339327731633</v>
      </c>
      <c r="G146" s="803">
        <v>88.159601973097722</v>
      </c>
      <c r="H146" s="803">
        <v>1153.9182186002699</v>
      </c>
      <c r="I146" s="803">
        <v>595.89973321934986</v>
      </c>
      <c r="J146" s="803">
        <v>898.6101839343778</v>
      </c>
      <c r="K146" s="803">
        <v>4794.5504422313297</v>
      </c>
      <c r="L146" s="803">
        <v>2403.6689353608313</v>
      </c>
      <c r="M146" s="803">
        <v>568.03282523013479</v>
      </c>
      <c r="N146" s="578"/>
      <c r="O146" s="429"/>
      <c r="P146" s="429"/>
      <c r="Q146" s="429">
        <f>Valuation!$C$9 * USD_2000/USD_BaseYear</f>
        <v>33.069339327731633</v>
      </c>
      <c r="R146" s="803">
        <v>41.959225768843282</v>
      </c>
      <c r="S146" s="803">
        <v>720.89726669296999</v>
      </c>
      <c r="T146" s="803">
        <v>839.99282589450274</v>
      </c>
      <c r="U146" s="803">
        <v>514.40731925864509</v>
      </c>
      <c r="V146" s="803">
        <v>2644.9199288646105</v>
      </c>
      <c r="W146" s="803">
        <v>2325.3076845527698</v>
      </c>
      <c r="X146" s="803">
        <v>808.91640426470519</v>
      </c>
      <c r="AA146" s="201"/>
      <c r="AB146" s="201"/>
      <c r="AC146" s="201"/>
      <c r="AD146" s="201"/>
      <c r="AE146" s="201"/>
      <c r="AF146" s="201"/>
    </row>
    <row r="147" spans="1:39">
      <c r="A147" s="949"/>
      <c r="B147" s="640" t="b">
        <f>IF(AND(C150=C147,D150=D147),TRUE,FALSE)</f>
        <v>0</v>
      </c>
      <c r="C147" s="636" t="str">
        <f>$C$32</f>
        <v>95% Elec Source</v>
      </c>
      <c r="D147" s="429" t="str">
        <f t="shared" si="75"/>
        <v>50% Median</v>
      </c>
      <c r="E147" s="429"/>
      <c r="F147" s="429">
        <f>Valuation!$C$9 * USD_2000/USD_BaseYear</f>
        <v>33.069339327731633</v>
      </c>
      <c r="G147" s="803">
        <v>95.289977768725819</v>
      </c>
      <c r="H147" s="803">
        <v>4444.1995316400998</v>
      </c>
      <c r="I147" s="803">
        <v>2495.0072111022359</v>
      </c>
      <c r="J147" s="803">
        <v>1129.0708587476893</v>
      </c>
      <c r="K147" s="803">
        <v>7717.2858905552393</v>
      </c>
      <c r="L147" s="803">
        <v>5447.7659488138834</v>
      </c>
      <c r="M147" s="803">
        <v>2141.9079727581498</v>
      </c>
      <c r="N147" s="578"/>
      <c r="O147" s="429"/>
      <c r="P147" s="429"/>
      <c r="Q147" s="429">
        <f>Valuation!$C$9 * USD_2000/USD_BaseYear</f>
        <v>33.069339327731633</v>
      </c>
      <c r="R147" s="803">
        <v>114.61420746311632</v>
      </c>
      <c r="S147" s="803">
        <v>7910.01399999564</v>
      </c>
      <c r="T147" s="803">
        <v>2613.5968931881384</v>
      </c>
      <c r="U147" s="803">
        <v>1328.736107933734</v>
      </c>
      <c r="V147" s="803">
        <v>8881.6914989588495</v>
      </c>
      <c r="W147" s="803">
        <v>5669.9956347221105</v>
      </c>
      <c r="X147" s="803">
        <v>2310.8936623448635</v>
      </c>
      <c r="AA147" s="201"/>
      <c r="AB147" s="201"/>
      <c r="AC147" s="201"/>
      <c r="AD147" s="201"/>
      <c r="AE147" s="201"/>
      <c r="AF147" s="201"/>
    </row>
    <row r="148" spans="1:39">
      <c r="A148" s="949"/>
      <c r="B148" s="640" t="b">
        <f>IF(AND(C150=C148,D150=D148),TRUE,FALSE)</f>
        <v>0</v>
      </c>
      <c r="C148" s="636" t="str">
        <f>$C$32</f>
        <v>95% Elec Source</v>
      </c>
      <c r="D148" s="429" t="str">
        <f t="shared" si="75"/>
        <v>95% Worst</v>
      </c>
      <c r="E148" s="429"/>
      <c r="F148" s="429">
        <f>Valuation!$C$9 * USD_2000/USD_BaseYear</f>
        <v>33.069339327731633</v>
      </c>
      <c r="G148" s="803">
        <v>601.97957976541954</v>
      </c>
      <c r="H148" s="803">
        <v>57286.545578818797</v>
      </c>
      <c r="I148" s="803">
        <v>2535.9249848832096</v>
      </c>
      <c r="J148" s="803">
        <v>6323.0165500466555</v>
      </c>
      <c r="K148" s="803">
        <v>50533.400684800297</v>
      </c>
      <c r="L148" s="803">
        <v>14429.519106574307</v>
      </c>
      <c r="M148" s="803">
        <v>2599.7208551173881</v>
      </c>
      <c r="N148" s="578"/>
      <c r="O148" s="429"/>
      <c r="P148" s="429"/>
      <c r="Q148" s="429">
        <f>Valuation!$C$9 * USD_2000/USD_BaseYear</f>
        <v>33.069339327731633</v>
      </c>
      <c r="R148" s="803">
        <v>468.02296933947338</v>
      </c>
      <c r="S148" s="803">
        <v>6050.2704172440308</v>
      </c>
      <c r="T148" s="803">
        <v>7398.7628521742363</v>
      </c>
      <c r="U148" s="803">
        <v>5435.8350430976861</v>
      </c>
      <c r="V148" s="803">
        <v>37947.397540143</v>
      </c>
      <c r="W148" s="803">
        <v>13608.498231184141</v>
      </c>
      <c r="X148" s="803">
        <v>6946.5968813753743</v>
      </c>
      <c r="AA148" s="201"/>
      <c r="AB148" s="201"/>
      <c r="AC148" s="201"/>
      <c r="AD148" s="201"/>
      <c r="AE148" s="201"/>
      <c r="AF148" s="201"/>
    </row>
    <row r="149" spans="1:39">
      <c r="A149" s="949"/>
      <c r="B149" s="640" t="b">
        <f>IF(AND(C150=C149,D150=D149),TRUE,FALSE)</f>
        <v>0</v>
      </c>
      <c r="C149" s="636" t="str">
        <f>$C$32</f>
        <v>95% Elec Source</v>
      </c>
      <c r="D149" s="429" t="str">
        <f t="shared" si="75"/>
        <v>Weighted Average</v>
      </c>
      <c r="E149" s="429"/>
      <c r="F149" s="429">
        <f>Valuation!$C$9 * USD_2000/USD_BaseYear</f>
        <v>33.069339327731633</v>
      </c>
      <c r="G149" s="803">
        <v>354.62629882054574</v>
      </c>
      <c r="H149" s="803">
        <v>37315.317677830753</v>
      </c>
      <c r="I149" s="803">
        <v>2041.9326029148592</v>
      </c>
      <c r="J149" s="803">
        <v>3774.7034722860535</v>
      </c>
      <c r="K149" s="803">
        <v>25330.941165080971</v>
      </c>
      <c r="L149" s="803">
        <v>10091.617676883025</v>
      </c>
      <c r="M149" s="803">
        <v>1902.0734009168641</v>
      </c>
      <c r="N149" s="578"/>
      <c r="O149" s="429"/>
      <c r="P149" s="429"/>
      <c r="Q149" s="429">
        <f>Valuation!$C$9 * USD_2000/USD_BaseYear</f>
        <v>33.069339327731633</v>
      </c>
      <c r="R149" s="803">
        <v>354.62629882054574</v>
      </c>
      <c r="S149" s="803">
        <v>37315.317677830753</v>
      </c>
      <c r="T149" s="803">
        <v>2041.9326029148592</v>
      </c>
      <c r="U149" s="803">
        <v>3774.7034722860535</v>
      </c>
      <c r="V149" s="803">
        <v>25330.941165080971</v>
      </c>
      <c r="W149" s="803">
        <v>10091.617676883025</v>
      </c>
      <c r="X149" s="803">
        <v>1902.0734009168641</v>
      </c>
      <c r="AA149" s="201"/>
      <c r="AB149" s="201"/>
      <c r="AC149" s="201"/>
      <c r="AD149" s="201"/>
      <c r="AE149" s="201"/>
      <c r="AF149" s="201"/>
    </row>
    <row r="150" spans="1:39" s="159" customFormat="1">
      <c r="A150" s="949"/>
      <c r="B150" s="640"/>
      <c r="C150" s="485" t="str">
        <f>SUMMARY!$B$15</f>
        <v>US Avg Elec</v>
      </c>
      <c r="D150" s="485" t="str">
        <f>D134</f>
        <v>Weighted Average</v>
      </c>
      <c r="E150" s="485">
        <f t="array" ref="E150">SUM(IF($B138:$B149=TRUE,E138:E149))</f>
        <v>0</v>
      </c>
      <c r="F150" s="485">
        <f t="array" ref="F150">SUM(IF($B138:$B149=TRUE,F138:F149))</f>
        <v>33.069339327731633</v>
      </c>
      <c r="G150" s="485">
        <f t="array" ref="G150">SUM(IF($B138:$B149=TRUE,G138:G149))</f>
        <v>354.62629882054574</v>
      </c>
      <c r="H150" s="485">
        <f t="array" ref="H150">SUM(IF($B138:$B149=TRUE,H138:H149))</f>
        <v>37315.317677830753</v>
      </c>
      <c r="I150" s="485">
        <f t="array" ref="I150">SUM(IF($B138:$B149=TRUE,I138:I149))</f>
        <v>2041.9326029148592</v>
      </c>
      <c r="J150" s="485">
        <f t="array" ref="J150">SUM(IF($B138:$B149=TRUE,J138:J149))</f>
        <v>3774.7034722860535</v>
      </c>
      <c r="K150" s="485">
        <f t="array" ref="K150">SUM(IF($B138:$B149=TRUE,K138:K149))</f>
        <v>25330.941165080971</v>
      </c>
      <c r="L150" s="485">
        <f t="array" ref="L150">SUM(IF($B138:$B149=TRUE,L138:L149))</f>
        <v>10091.617676883025</v>
      </c>
      <c r="M150" s="485">
        <f t="array" ref="M150">SUM(IF($B138:$B149=TRUE,M138:M149))</f>
        <v>1902.0734009168641</v>
      </c>
      <c r="N150" s="579"/>
      <c r="O150" s="485"/>
      <c r="P150" s="485">
        <f t="array" ref="P150">SUM(IF($B138:$B149=TRUE,P138:P149))</f>
        <v>0</v>
      </c>
      <c r="Q150" s="485">
        <f t="array" ref="Q150">SUM(IF($B138:$B149=TRUE,Q138:Q149))</f>
        <v>33.069339327731633</v>
      </c>
      <c r="R150" s="485">
        <f t="array" ref="R150">SUM(IF($B138:$B149=TRUE,R138:R149))</f>
        <v>354.62629882054574</v>
      </c>
      <c r="S150" s="485">
        <f t="array" ref="S150">SUM(IF($B138:$B149=TRUE,S138:S149))</f>
        <v>37315.317677830753</v>
      </c>
      <c r="T150" s="485">
        <f t="array" ref="T150">SUM(IF($B138:$B149=TRUE,T138:T149))</f>
        <v>2041.9326029148592</v>
      </c>
      <c r="U150" s="485">
        <f t="array" ref="U150">SUM(IF($B138:$B149=TRUE,U138:U149))</f>
        <v>3774.7034722860535</v>
      </c>
      <c r="V150" s="485">
        <f t="array" ref="V150">SUM(IF($B138:$B149=TRUE,V138:V149))</f>
        <v>25330.941165080971</v>
      </c>
      <c r="W150" s="485">
        <f t="array" ref="W150">SUM(IF($B138:$B149=TRUE,W138:W149))</f>
        <v>10091.617676883025</v>
      </c>
      <c r="X150" s="485">
        <f t="array" ref="X150">SUM(IF($B138:$B149=TRUE,X138:X149))</f>
        <v>1902.0734009168641</v>
      </c>
      <c r="AA150" s="429"/>
      <c r="AB150" s="429"/>
      <c r="AC150" s="429"/>
      <c r="AD150" s="429"/>
      <c r="AE150" s="429"/>
      <c r="AF150" s="429"/>
    </row>
    <row r="151" spans="1:39">
      <c r="A151" s="493"/>
      <c r="B151" s="643"/>
      <c r="C151" s="630"/>
      <c r="D151" s="474"/>
      <c r="E151" s="474"/>
      <c r="F151" s="474"/>
      <c r="G151" s="474"/>
      <c r="H151" s="474"/>
      <c r="I151" s="474"/>
      <c r="J151" s="474"/>
      <c r="K151" s="474"/>
      <c r="L151" s="474"/>
      <c r="M151" s="474"/>
      <c r="N151" s="547"/>
      <c r="O151" s="474"/>
      <c r="P151" s="474"/>
      <c r="Q151" s="474"/>
      <c r="R151" s="474"/>
      <c r="S151" s="474"/>
      <c r="T151" s="474"/>
      <c r="U151" s="474"/>
      <c r="V151" s="474"/>
      <c r="W151" s="474"/>
      <c r="X151" s="474"/>
      <c r="AA151" s="201"/>
      <c r="AB151" s="201"/>
      <c r="AC151" s="201"/>
      <c r="AD151" s="201"/>
      <c r="AE151" s="201"/>
      <c r="AF151" s="201"/>
    </row>
    <row r="152" spans="1:39">
      <c r="A152" s="492"/>
      <c r="B152" s="644"/>
      <c r="C152" s="504"/>
      <c r="D152" s="489"/>
      <c r="E152" s="489"/>
      <c r="F152" s="489"/>
      <c r="G152" s="489"/>
      <c r="H152" s="489"/>
      <c r="I152" s="489"/>
      <c r="J152" s="489"/>
      <c r="K152" s="489"/>
      <c r="L152" s="489"/>
      <c r="M152" s="489"/>
      <c r="N152" s="547"/>
      <c r="O152" s="489"/>
      <c r="P152" s="489"/>
      <c r="Q152" s="489"/>
      <c r="R152" s="489"/>
      <c r="S152" s="489"/>
      <c r="T152" s="489"/>
      <c r="U152" s="489"/>
      <c r="V152" s="489"/>
      <c r="W152" s="489"/>
      <c r="X152" s="489"/>
      <c r="AA152" s="201"/>
      <c r="AB152" s="201"/>
      <c r="AC152" s="201"/>
      <c r="AD152" s="201"/>
      <c r="AE152" s="201"/>
      <c r="AF152" s="201"/>
    </row>
    <row r="153" spans="1:39">
      <c r="A153" s="949" t="s">
        <v>454</v>
      </c>
      <c r="B153" s="640"/>
      <c r="C153" s="632"/>
      <c r="D153" s="481" t="s">
        <v>439</v>
      </c>
      <c r="E153" s="201"/>
      <c r="F153" s="201"/>
      <c r="G153" s="201"/>
      <c r="H153" s="201"/>
      <c r="I153" s="201"/>
      <c r="J153" s="201"/>
      <c r="K153" s="201"/>
      <c r="L153" s="201"/>
      <c r="M153" s="201"/>
      <c r="N153" s="580"/>
      <c r="O153" s="481" t="s">
        <v>443</v>
      </c>
      <c r="P153" s="201"/>
      <c r="Q153" s="201"/>
      <c r="R153" s="201"/>
      <c r="S153" s="201"/>
      <c r="T153" s="201"/>
      <c r="U153" s="201"/>
      <c r="V153" s="201"/>
      <c r="W153" s="201"/>
      <c r="X153" s="201"/>
      <c r="AA153" s="201"/>
      <c r="AB153" s="201"/>
      <c r="AC153" s="201"/>
      <c r="AD153" s="201"/>
      <c r="AE153" s="201"/>
      <c r="AF153" s="201"/>
    </row>
    <row r="154" spans="1:39" ht="15.75" thickBot="1">
      <c r="A154" s="949"/>
      <c r="B154" s="640"/>
      <c r="C154" s="637"/>
      <c r="D154" s="482"/>
      <c r="E154" s="482" t="s">
        <v>1</v>
      </c>
      <c r="F154" s="482" t="s">
        <v>15</v>
      </c>
      <c r="G154" s="483" t="s">
        <v>2</v>
      </c>
      <c r="H154" s="483" t="s">
        <v>43</v>
      </c>
      <c r="I154" s="483" t="s">
        <v>25</v>
      </c>
      <c r="J154" s="483" t="s">
        <v>26</v>
      </c>
      <c r="K154" s="483" t="s">
        <v>27</v>
      </c>
      <c r="L154" s="483" t="s">
        <v>39</v>
      </c>
      <c r="M154" s="483" t="s">
        <v>3</v>
      </c>
      <c r="N154" s="581"/>
      <c r="O154" s="482"/>
      <c r="P154" s="482" t="s">
        <v>1</v>
      </c>
      <c r="Q154" s="482" t="s">
        <v>15</v>
      </c>
      <c r="R154" s="483" t="s">
        <v>2</v>
      </c>
      <c r="S154" s="483" t="s">
        <v>43</v>
      </c>
      <c r="T154" s="483" t="s">
        <v>25</v>
      </c>
      <c r="U154" s="483" t="s">
        <v>26</v>
      </c>
      <c r="V154" s="483" t="s">
        <v>27</v>
      </c>
      <c r="W154" s="483" t="s">
        <v>39</v>
      </c>
      <c r="X154" s="483" t="s">
        <v>3</v>
      </c>
      <c r="AA154" s="201"/>
      <c r="AB154" s="201"/>
      <c r="AC154" s="201"/>
      <c r="AD154" s="201"/>
      <c r="AE154" s="201"/>
      <c r="AF154" s="201"/>
      <c r="AG154" s="201"/>
      <c r="AH154" s="201"/>
      <c r="AI154" s="201"/>
      <c r="AJ154" s="201"/>
      <c r="AK154" s="201"/>
      <c r="AL154" s="201"/>
      <c r="AM154" s="201"/>
    </row>
    <row r="155" spans="1:39" ht="15.75" thickTop="1">
      <c r="A155" s="949"/>
      <c r="B155" s="640" t="b">
        <f>IF(AND(C170=C155,D170=D155),TRUE,FALSE)</f>
        <v>0</v>
      </c>
      <c r="C155" s="636" t="str">
        <f>$C$30</f>
        <v>US Avg Elec</v>
      </c>
      <c r="D155" s="429" t="s">
        <v>51</v>
      </c>
      <c r="E155" s="429"/>
      <c r="F155" s="429">
        <f>Valuation!$C$9 * USD_2000/USD_BaseYear</f>
        <v>33.069339327731633</v>
      </c>
      <c r="G155" s="803">
        <v>38.469094042474623</v>
      </c>
      <c r="H155" s="803">
        <v>1301.9425337881439</v>
      </c>
      <c r="I155" s="803">
        <v>144.39210910905837</v>
      </c>
      <c r="J155" s="803">
        <v>504.39525235110955</v>
      </c>
      <c r="K155" s="803">
        <v>3270.5433267229701</v>
      </c>
      <c r="L155" s="803">
        <v>2155.1589352797628</v>
      </c>
      <c r="M155" s="803">
        <v>313.28828245244057</v>
      </c>
      <c r="N155" s="578"/>
      <c r="O155" s="429"/>
      <c r="P155" s="429"/>
      <c r="Q155" s="429">
        <f>Valuation!$C$9 * USD_2000/USD_BaseYear</f>
        <v>33.069339327731633</v>
      </c>
      <c r="R155" s="803">
        <v>58.443817020228479</v>
      </c>
      <c r="S155" s="803">
        <v>835.65900740820098</v>
      </c>
      <c r="T155" s="803">
        <v>1215.3379267330088</v>
      </c>
      <c r="U155" s="803">
        <v>766.29784423131991</v>
      </c>
      <c r="V155" s="803">
        <v>3016.7890585383498</v>
      </c>
      <c r="W155" s="803">
        <v>1705.7341580749599</v>
      </c>
      <c r="X155" s="803">
        <v>308.51197934094154</v>
      </c>
      <c r="AA155" s="201"/>
      <c r="AB155" s="201"/>
      <c r="AC155" s="201"/>
      <c r="AD155" s="201"/>
      <c r="AE155" s="201"/>
      <c r="AF155" s="201"/>
      <c r="AG155" s="201"/>
      <c r="AH155" s="201"/>
      <c r="AI155" s="201"/>
      <c r="AJ155" s="201"/>
      <c r="AK155" s="201"/>
      <c r="AL155" s="201"/>
      <c r="AM155" s="201"/>
    </row>
    <row r="156" spans="1:39">
      <c r="A156" s="949"/>
      <c r="B156" s="640" t="b">
        <f>IF(AND(C170=C156,D170=D156),TRUE,FALSE)</f>
        <v>0</v>
      </c>
      <c r="C156" s="636" t="str">
        <f>$C$30</f>
        <v>US Avg Elec</v>
      </c>
      <c r="D156" s="429" t="s">
        <v>96</v>
      </c>
      <c r="E156" s="429"/>
      <c r="F156" s="429">
        <f>Valuation!$C$9 * USD_2000/USD_BaseYear</f>
        <v>33.069339327731633</v>
      </c>
      <c r="G156" s="803">
        <v>86.185632728924915</v>
      </c>
      <c r="H156" s="803">
        <v>1951.2008089064759</v>
      </c>
      <c r="I156" s="803">
        <v>2394.2902943655417</v>
      </c>
      <c r="J156" s="803">
        <v>1130.0402323316503</v>
      </c>
      <c r="K156" s="803">
        <v>6464.803403860009</v>
      </c>
      <c r="L156" s="803">
        <v>5650.5888709076789</v>
      </c>
      <c r="M156" s="803">
        <v>698.97421606568332</v>
      </c>
      <c r="N156" s="578"/>
      <c r="O156" s="429"/>
      <c r="P156" s="429"/>
      <c r="Q156" s="429">
        <f>Valuation!$C$9 * USD_2000/USD_BaseYear</f>
        <v>33.069339327731633</v>
      </c>
      <c r="R156" s="803">
        <v>150.08508374706508</v>
      </c>
      <c r="S156" s="803">
        <v>350.87891770872005</v>
      </c>
      <c r="T156" s="803">
        <v>1640.2392105407075</v>
      </c>
      <c r="U156" s="803">
        <v>1967.8707173907899</v>
      </c>
      <c r="V156" s="803">
        <v>12942.625104291121</v>
      </c>
      <c r="W156" s="803">
        <v>4883.9952888586595</v>
      </c>
      <c r="X156" s="803">
        <v>1236.4343023002953</v>
      </c>
      <c r="AA156" s="201"/>
      <c r="AB156" s="201"/>
      <c r="AC156" s="201"/>
      <c r="AD156" s="201"/>
      <c r="AE156" s="201"/>
      <c r="AF156" s="201"/>
      <c r="AG156" s="201"/>
      <c r="AH156" s="201"/>
      <c r="AI156" s="201"/>
      <c r="AJ156" s="201"/>
      <c r="AK156" s="201"/>
      <c r="AL156" s="201"/>
      <c r="AM156" s="201"/>
    </row>
    <row r="157" spans="1:39">
      <c r="A157" s="949"/>
      <c r="B157" s="640" t="b">
        <f>IF(AND(C170=C157,D170=D157),TRUE,FALSE)</f>
        <v>0</v>
      </c>
      <c r="C157" s="636" t="str">
        <f>$C$30</f>
        <v>US Avg Elec</v>
      </c>
      <c r="D157" s="429" t="s">
        <v>50</v>
      </c>
      <c r="E157" s="429"/>
      <c r="F157" s="429">
        <f>Valuation!$C$9 * USD_2000/USD_BaseYear</f>
        <v>33.069339327731633</v>
      </c>
      <c r="G157" s="803">
        <v>396.46353336303645</v>
      </c>
      <c r="H157" s="803">
        <v>18507.606274241582</v>
      </c>
      <c r="I157" s="803">
        <v>2870.9757703991868</v>
      </c>
      <c r="J157" s="803">
        <v>5198.3112401312328</v>
      </c>
      <c r="K157" s="803">
        <v>38708.543499698004</v>
      </c>
      <c r="L157" s="803">
        <v>13440.88635108077</v>
      </c>
      <c r="M157" s="803">
        <v>3709.0092765210611</v>
      </c>
      <c r="N157" s="578"/>
      <c r="O157" s="429"/>
      <c r="P157" s="429"/>
      <c r="Q157" s="429">
        <f>Valuation!$C$9 * USD_2000/USD_BaseYear</f>
        <v>33.069339327731633</v>
      </c>
      <c r="R157" s="803">
        <v>355.81336960790378</v>
      </c>
      <c r="S157" s="803">
        <v>38258.745369652497</v>
      </c>
      <c r="T157" s="803">
        <v>2510.7192037753562</v>
      </c>
      <c r="U157" s="803">
        <v>4665.3184542146892</v>
      </c>
      <c r="V157" s="803">
        <v>34459.751796292912</v>
      </c>
      <c r="W157" s="803">
        <v>13726.22073598558</v>
      </c>
      <c r="X157" s="803">
        <v>3326.4134474632024</v>
      </c>
      <c r="AA157" s="201"/>
      <c r="AB157" s="201"/>
      <c r="AC157" s="201"/>
      <c r="AD157" s="201"/>
      <c r="AE157" s="201"/>
      <c r="AF157" s="201"/>
      <c r="AG157" s="201"/>
      <c r="AH157" s="201"/>
      <c r="AI157" s="201"/>
      <c r="AJ157" s="201"/>
      <c r="AK157" s="201"/>
      <c r="AL157" s="201"/>
      <c r="AM157" s="201"/>
    </row>
    <row r="158" spans="1:39">
      <c r="A158" s="949"/>
      <c r="B158" s="640" t="b">
        <f>IF(AND(C170=C158,D170=D158),TRUE,FALSE)</f>
        <v>0</v>
      </c>
      <c r="C158" s="636" t="str">
        <f>$C$30</f>
        <v>US Avg Elec</v>
      </c>
      <c r="D158" s="429" t="s">
        <v>478</v>
      </c>
      <c r="E158" s="429"/>
      <c r="F158" s="429">
        <f>Valuation!$C$9 * USD_2000/USD_BaseYear</f>
        <v>33.069339327731633</v>
      </c>
      <c r="G158" s="803">
        <v>146.14002230235161</v>
      </c>
      <c r="H158" s="803">
        <v>12406.524904856851</v>
      </c>
      <c r="I158" s="803">
        <v>1592.3617962842493</v>
      </c>
      <c r="J158" s="803">
        <v>1916.144251965062</v>
      </c>
      <c r="K158" s="803">
        <v>12869.822540784791</v>
      </c>
      <c r="L158" s="803">
        <v>5650.8448567385039</v>
      </c>
      <c r="M158" s="803">
        <v>1251.5707625829191</v>
      </c>
      <c r="N158" s="578"/>
      <c r="O158" s="429"/>
      <c r="P158" s="429"/>
      <c r="Q158" s="429">
        <f>Valuation!$C$9 * USD_2000/USD_BaseYear</f>
        <v>33.069339327731633</v>
      </c>
      <c r="R158" s="803">
        <v>146.14002230235161</v>
      </c>
      <c r="S158" s="803">
        <v>12406.524904856851</v>
      </c>
      <c r="T158" s="803">
        <v>1592.3617962842493</v>
      </c>
      <c r="U158" s="803">
        <v>1916.144251965062</v>
      </c>
      <c r="V158" s="803">
        <v>12869.822540784791</v>
      </c>
      <c r="W158" s="803">
        <v>5650.8448567385039</v>
      </c>
      <c r="X158" s="803">
        <v>1251.5707625829191</v>
      </c>
      <c r="AA158" s="201"/>
      <c r="AB158" s="201"/>
      <c r="AC158" s="201"/>
      <c r="AD158" s="201"/>
      <c r="AE158" s="201"/>
      <c r="AF158" s="201"/>
      <c r="AG158" s="201"/>
      <c r="AH158" s="201"/>
      <c r="AI158" s="201"/>
      <c r="AJ158" s="201"/>
      <c r="AK158" s="201"/>
      <c r="AL158" s="201"/>
      <c r="AM158" s="201"/>
    </row>
    <row r="159" spans="1:39">
      <c r="A159" s="949"/>
      <c r="B159" s="640" t="b">
        <f>IF(AND(C170=C159,D170=D159),TRUE,FALSE)</f>
        <v>1</v>
      </c>
      <c r="C159" s="636" t="str">
        <f>$C$30</f>
        <v>US Avg Elec</v>
      </c>
      <c r="D159" s="429" t="s">
        <v>479</v>
      </c>
      <c r="E159" s="429"/>
      <c r="F159" s="429">
        <f>Valuation!$C$9 * USD_2000/USD_BaseYear</f>
        <v>33.069339327731633</v>
      </c>
      <c r="G159" s="803">
        <v>354.62629882054574</v>
      </c>
      <c r="H159" s="803">
        <v>37315.317677830753</v>
      </c>
      <c r="I159" s="803">
        <v>2041.9326029148592</v>
      </c>
      <c r="J159" s="803">
        <v>3774.7034722860535</v>
      </c>
      <c r="K159" s="803">
        <v>25330.941165080971</v>
      </c>
      <c r="L159" s="803">
        <v>10091.617676883025</v>
      </c>
      <c r="M159" s="803">
        <v>1902.0734009168641</v>
      </c>
      <c r="N159" s="578"/>
      <c r="O159" s="429"/>
      <c r="P159" s="429"/>
      <c r="Q159" s="429">
        <f>Valuation!$C$9 * USD_2000/USD_BaseYear</f>
        <v>33.069339327731633</v>
      </c>
      <c r="R159" s="803">
        <v>354.62629882054574</v>
      </c>
      <c r="S159" s="803">
        <v>37315.317677830753</v>
      </c>
      <c r="T159" s="803">
        <v>2041.9326029148592</v>
      </c>
      <c r="U159" s="803">
        <v>3774.7034722860535</v>
      </c>
      <c r="V159" s="803">
        <v>25330.941165080971</v>
      </c>
      <c r="W159" s="803">
        <v>10091.617676883025</v>
      </c>
      <c r="X159" s="803">
        <v>1902.0734009168641</v>
      </c>
      <c r="AA159" s="201"/>
      <c r="AB159" s="201"/>
      <c r="AC159" s="201"/>
      <c r="AD159" s="201"/>
      <c r="AE159" s="201"/>
      <c r="AF159" s="201"/>
      <c r="AG159" s="201"/>
      <c r="AH159" s="201"/>
      <c r="AI159" s="201"/>
      <c r="AJ159" s="201"/>
      <c r="AK159" s="201"/>
      <c r="AL159" s="201"/>
      <c r="AM159" s="201"/>
    </row>
    <row r="160" spans="1:39">
      <c r="A160" s="949"/>
      <c r="B160" s="640" t="b">
        <f>IF(AND(C170=C160,D170=D160),TRUE,FALSE)</f>
        <v>0</v>
      </c>
      <c r="C160" s="636" t="str">
        <f>$C$31</f>
        <v>5% Elec Source</v>
      </c>
      <c r="D160" s="429" t="str">
        <f>D155</f>
        <v>5% Best</v>
      </c>
      <c r="E160" s="429"/>
      <c r="F160" s="429">
        <f>Valuation!$C$9 * USD_2000/USD_BaseYear</f>
        <v>33.069339327731633</v>
      </c>
      <c r="G160" s="803">
        <v>38.469094042474623</v>
      </c>
      <c r="H160" s="803">
        <v>1301.9425337881439</v>
      </c>
      <c r="I160" s="803">
        <v>144.39210910905837</v>
      </c>
      <c r="J160" s="803">
        <v>504.39525235110955</v>
      </c>
      <c r="K160" s="803">
        <v>3270.5433267229701</v>
      </c>
      <c r="L160" s="803">
        <v>2155.1589352797628</v>
      </c>
      <c r="M160" s="803">
        <v>313.28828245244057</v>
      </c>
      <c r="N160" s="578"/>
      <c r="O160" s="429"/>
      <c r="P160" s="429"/>
      <c r="Q160" s="429">
        <f>Valuation!$C$9 * USD_2000/USD_BaseYear</f>
        <v>33.069339327731633</v>
      </c>
      <c r="R160" s="803">
        <v>51.90677467366497</v>
      </c>
      <c r="S160" s="803">
        <v>768.12910170384998</v>
      </c>
      <c r="T160" s="803">
        <v>1198.5105680770437</v>
      </c>
      <c r="U160" s="803">
        <v>680.58610065908454</v>
      </c>
      <c r="V160" s="803">
        <v>2957.17165364831</v>
      </c>
      <c r="W160" s="803">
        <v>1713.87913634455</v>
      </c>
      <c r="X160" s="803">
        <v>293.78627530319801</v>
      </c>
      <c r="AA160" s="201"/>
      <c r="AB160" s="201"/>
      <c r="AC160" s="201"/>
      <c r="AD160" s="201"/>
      <c r="AE160" s="201"/>
      <c r="AF160" s="201"/>
      <c r="AG160" s="201"/>
      <c r="AH160" s="201"/>
      <c r="AI160" s="201"/>
      <c r="AJ160" s="201"/>
      <c r="AK160" s="201"/>
      <c r="AL160" s="201"/>
      <c r="AM160" s="201"/>
    </row>
    <row r="161" spans="1:39">
      <c r="A161" s="949"/>
      <c r="B161" s="640" t="b">
        <f>IF(AND(C170=C161,D170=D161),TRUE,FALSE)</f>
        <v>0</v>
      </c>
      <c r="C161" s="636" t="str">
        <f>$C$31</f>
        <v>5% Elec Source</v>
      </c>
      <c r="D161" s="429" t="str">
        <f t="shared" ref="D161:D169" si="77">D156</f>
        <v>50% Median</v>
      </c>
      <c r="E161" s="429"/>
      <c r="F161" s="429">
        <f>Valuation!$C$9 * USD_2000/USD_BaseYear</f>
        <v>33.069339327731633</v>
      </c>
      <c r="G161" s="803">
        <v>88.093971356447028</v>
      </c>
      <c r="H161" s="803">
        <v>11031.291147608888</v>
      </c>
      <c r="I161" s="803">
        <v>1237.2087068602866</v>
      </c>
      <c r="J161" s="803">
        <v>1155.0617975012799</v>
      </c>
      <c r="K161" s="803">
        <v>8452.6862671538784</v>
      </c>
      <c r="L161" s="803">
        <v>5561.1947306006095</v>
      </c>
      <c r="M161" s="803">
        <v>823.25915708601985</v>
      </c>
      <c r="N161" s="578"/>
      <c r="O161" s="429"/>
      <c r="P161" s="429"/>
      <c r="Q161" s="429">
        <f>Valuation!$C$9 * USD_2000/USD_BaseYear</f>
        <v>33.069339327731633</v>
      </c>
      <c r="R161" s="803">
        <v>76.612072519705393</v>
      </c>
      <c r="S161" s="803">
        <v>3692.2788154384898</v>
      </c>
      <c r="T161" s="803">
        <v>2193.4159059282065</v>
      </c>
      <c r="U161" s="803">
        <v>1004.5145749741839</v>
      </c>
      <c r="V161" s="803">
        <v>6438.4339127021894</v>
      </c>
      <c r="W161" s="803">
        <v>5466.3661955352409</v>
      </c>
      <c r="X161" s="803">
        <v>684.03202470052361</v>
      </c>
      <c r="AA161" s="201"/>
      <c r="AB161" s="201"/>
      <c r="AC161" s="201"/>
      <c r="AD161" s="201"/>
      <c r="AE161" s="201"/>
      <c r="AF161" s="201"/>
      <c r="AG161" s="201"/>
      <c r="AH161" s="201"/>
      <c r="AI161" s="201"/>
      <c r="AJ161" s="201"/>
      <c r="AK161" s="201"/>
      <c r="AL161" s="201"/>
      <c r="AM161" s="201"/>
    </row>
    <row r="162" spans="1:39">
      <c r="A162" s="949"/>
      <c r="B162" s="640" t="b">
        <f>IF(AND(C170=C162,D170=D162),TRUE,FALSE)</f>
        <v>0</v>
      </c>
      <c r="C162" s="636" t="str">
        <f>$C$31</f>
        <v>5% Elec Source</v>
      </c>
      <c r="D162" s="429" t="str">
        <f t="shared" si="77"/>
        <v>95% Worst</v>
      </c>
      <c r="E162" s="429"/>
      <c r="F162" s="429">
        <f>Valuation!$C$9 * USD_2000/USD_BaseYear</f>
        <v>33.069339327731633</v>
      </c>
      <c r="G162" s="803">
        <v>497.15095848798666</v>
      </c>
      <c r="H162" s="803">
        <v>77172.517189046295</v>
      </c>
      <c r="I162" s="803">
        <v>1037.5275814391389</v>
      </c>
      <c r="J162" s="803">
        <v>6518.4946358828565</v>
      </c>
      <c r="K162" s="803">
        <v>44861.457839195296</v>
      </c>
      <c r="L162" s="803">
        <v>11351.153229676827</v>
      </c>
      <c r="M162" s="803">
        <v>4221.7284075879543</v>
      </c>
      <c r="N162" s="578"/>
      <c r="O162" s="429"/>
      <c r="P162" s="429"/>
      <c r="Q162" s="429">
        <f>Valuation!$C$9 * USD_2000/USD_BaseYear</f>
        <v>33.069339327731633</v>
      </c>
      <c r="R162" s="803">
        <v>355.81336960790378</v>
      </c>
      <c r="S162" s="803">
        <v>38258.745369652497</v>
      </c>
      <c r="T162" s="803">
        <v>2510.7192037753562</v>
      </c>
      <c r="U162" s="803">
        <v>4665.3184542146892</v>
      </c>
      <c r="V162" s="803">
        <v>34459.751796292912</v>
      </c>
      <c r="W162" s="803">
        <v>13726.22073598558</v>
      </c>
      <c r="X162" s="803">
        <v>3326.4134474632024</v>
      </c>
      <c r="AA162" s="201"/>
      <c r="AB162" s="201"/>
      <c r="AC162" s="201"/>
      <c r="AD162" s="201"/>
      <c r="AE162" s="201"/>
      <c r="AF162" s="201"/>
      <c r="AG162" s="201"/>
      <c r="AH162" s="201"/>
      <c r="AI162" s="201"/>
      <c r="AJ162" s="201"/>
      <c r="AK162" s="201"/>
      <c r="AL162" s="201"/>
      <c r="AM162" s="201"/>
    </row>
    <row r="163" spans="1:39">
      <c r="A163" s="949"/>
      <c r="B163" s="640" t="b">
        <f>IF(AND(C170=C163,D170=D163),TRUE,FALSE)</f>
        <v>0</v>
      </c>
      <c r="C163" s="636" t="str">
        <f>$C$31</f>
        <v>5% Elec Source</v>
      </c>
      <c r="D163" s="429" t="str">
        <f t="shared" si="77"/>
        <v>Avg 3100 US Counties</v>
      </c>
      <c r="E163" s="429"/>
      <c r="F163" s="429">
        <f>Valuation!$C$9 * USD_2000/USD_BaseYear</f>
        <v>33.069339327731633</v>
      </c>
      <c r="G163" s="803">
        <v>146.14002230235161</v>
      </c>
      <c r="H163" s="803">
        <v>12406.524904856851</v>
      </c>
      <c r="I163" s="803">
        <v>1592.3617962842493</v>
      </c>
      <c r="J163" s="803">
        <v>1916.144251965062</v>
      </c>
      <c r="K163" s="803">
        <v>12869.822540784791</v>
      </c>
      <c r="L163" s="803">
        <v>5650.8448567385039</v>
      </c>
      <c r="M163" s="803">
        <v>1251.5707625829191</v>
      </c>
      <c r="N163" s="578"/>
      <c r="O163" s="429"/>
      <c r="P163" s="429"/>
      <c r="Q163" s="429">
        <f>Valuation!$C$9 * USD_2000/USD_BaseYear</f>
        <v>33.069339327731633</v>
      </c>
      <c r="R163" s="803">
        <v>146.14002230235161</v>
      </c>
      <c r="S163" s="803">
        <v>12406.524904856851</v>
      </c>
      <c r="T163" s="803">
        <v>1592.3617962842493</v>
      </c>
      <c r="U163" s="803">
        <v>1916.144251965062</v>
      </c>
      <c r="V163" s="803">
        <v>12869.822540784791</v>
      </c>
      <c r="W163" s="803">
        <v>5650.8448567385039</v>
      </c>
      <c r="X163" s="803">
        <v>1251.5707625829191</v>
      </c>
      <c r="AA163" s="201"/>
      <c r="AB163" s="201"/>
      <c r="AC163" s="201"/>
      <c r="AD163" s="201"/>
      <c r="AE163" s="201"/>
      <c r="AF163" s="201"/>
      <c r="AG163" s="201"/>
      <c r="AH163" s="201"/>
      <c r="AI163" s="201"/>
      <c r="AJ163" s="201"/>
      <c r="AK163" s="201"/>
      <c r="AL163" s="201"/>
      <c r="AM163" s="201"/>
    </row>
    <row r="164" spans="1:39">
      <c r="A164" s="949"/>
      <c r="B164" s="640" t="b">
        <f>IF(AND(C170=C164,D170=D164),TRUE,FALSE)</f>
        <v>0</v>
      </c>
      <c r="C164" s="636" t="str">
        <f>$C$31</f>
        <v>5% Elec Source</v>
      </c>
      <c r="D164" s="429" t="str">
        <f t="shared" si="77"/>
        <v>Wgt Avg Auto Manuf Counties</v>
      </c>
      <c r="E164" s="429"/>
      <c r="F164" s="429">
        <f>Valuation!$C$9 * USD_2000/USD_BaseYear</f>
        <v>33.069339327731633</v>
      </c>
      <c r="G164" s="803">
        <v>354.62629882054574</v>
      </c>
      <c r="H164" s="803">
        <v>37315.317677830753</v>
      </c>
      <c r="I164" s="803">
        <v>2041.9326029148592</v>
      </c>
      <c r="J164" s="803">
        <v>3774.7034722860535</v>
      </c>
      <c r="K164" s="803">
        <v>25330.941165080971</v>
      </c>
      <c r="L164" s="803">
        <v>10091.617676883025</v>
      </c>
      <c r="M164" s="803">
        <v>1902.0734009168641</v>
      </c>
      <c r="N164" s="578"/>
      <c r="O164" s="429"/>
      <c r="P164" s="429"/>
      <c r="Q164" s="429">
        <f>Valuation!$C$9 * USD_2000/USD_BaseYear</f>
        <v>33.069339327731633</v>
      </c>
      <c r="R164" s="803">
        <v>354.62629882054574</v>
      </c>
      <c r="S164" s="803">
        <v>37315.317677830753</v>
      </c>
      <c r="T164" s="803">
        <v>2041.9326029148592</v>
      </c>
      <c r="U164" s="803">
        <v>3774.7034722860535</v>
      </c>
      <c r="V164" s="803">
        <v>25330.941165080971</v>
      </c>
      <c r="W164" s="803">
        <v>10091.617676883025</v>
      </c>
      <c r="X164" s="803">
        <v>1902.0734009168641</v>
      </c>
      <c r="AA164" s="201"/>
      <c r="AB164" s="201"/>
      <c r="AC164" s="201"/>
      <c r="AD164" s="201"/>
      <c r="AE164" s="201"/>
      <c r="AF164" s="201"/>
      <c r="AG164" s="201"/>
      <c r="AH164" s="201"/>
      <c r="AI164" s="201"/>
      <c r="AJ164" s="201"/>
      <c r="AK164" s="201"/>
      <c r="AL164" s="201"/>
      <c r="AM164" s="201"/>
    </row>
    <row r="165" spans="1:39">
      <c r="A165" s="949"/>
      <c r="B165" s="640" t="b">
        <f>IF(AND(C170=C165,D170=D165),TRUE,FALSE)</f>
        <v>0</v>
      </c>
      <c r="C165" s="636" t="str">
        <f>$C$32</f>
        <v>95% Elec Source</v>
      </c>
      <c r="D165" s="429" t="str">
        <f t="shared" si="77"/>
        <v>5% Best</v>
      </c>
      <c r="E165" s="429"/>
      <c r="F165" s="429">
        <f>Valuation!$C$9 * USD_2000/USD_BaseYear</f>
        <v>33.069339327731633</v>
      </c>
      <c r="G165" s="803">
        <v>51.90677467366497</v>
      </c>
      <c r="H165" s="803">
        <v>768.12910170384998</v>
      </c>
      <c r="I165" s="803">
        <v>1198.5105680770437</v>
      </c>
      <c r="J165" s="803">
        <v>680.58610065908454</v>
      </c>
      <c r="K165" s="803">
        <v>2957.17165364831</v>
      </c>
      <c r="L165" s="803">
        <v>1713.87913634455</v>
      </c>
      <c r="M165" s="803">
        <v>293.78627530319801</v>
      </c>
      <c r="N165" s="578"/>
      <c r="O165" s="429"/>
      <c r="P165" s="429"/>
      <c r="Q165" s="429">
        <f>Valuation!$C$9 * USD_2000/USD_BaseYear</f>
        <v>33.069339327731633</v>
      </c>
      <c r="R165" s="803">
        <v>48.41376603681389</v>
      </c>
      <c r="S165" s="803">
        <v>918.52889776477389</v>
      </c>
      <c r="T165" s="803">
        <v>1513.0332426545776</v>
      </c>
      <c r="U165" s="803">
        <v>634.78681641018079</v>
      </c>
      <c r="V165" s="803">
        <v>4020.5923183201999</v>
      </c>
      <c r="W165" s="803">
        <v>1561.46365382216</v>
      </c>
      <c r="X165" s="803">
        <v>402.02241794119988</v>
      </c>
      <c r="AA165" s="201"/>
      <c r="AB165" s="201"/>
      <c r="AC165" s="201"/>
      <c r="AD165" s="201"/>
      <c r="AE165" s="201"/>
      <c r="AF165" s="201"/>
      <c r="AG165" s="201"/>
      <c r="AH165" s="201"/>
      <c r="AI165" s="201"/>
      <c r="AJ165" s="201"/>
      <c r="AK165" s="201"/>
      <c r="AL165" s="201"/>
      <c r="AM165" s="201"/>
    </row>
    <row r="166" spans="1:39">
      <c r="A166" s="949"/>
      <c r="B166" s="640" t="b">
        <f>IF(AND(C170=C166,D170=D166),TRUE,FALSE)</f>
        <v>0</v>
      </c>
      <c r="C166" s="636" t="str">
        <f>$C$32</f>
        <v>95% Elec Source</v>
      </c>
      <c r="D166" s="429" t="str">
        <f t="shared" si="77"/>
        <v>50% Median</v>
      </c>
      <c r="E166" s="429"/>
      <c r="F166" s="429">
        <f>Valuation!$C$9 * USD_2000/USD_BaseYear</f>
        <v>33.069339327731633</v>
      </c>
      <c r="G166" s="803">
        <v>84.152016137995574</v>
      </c>
      <c r="H166" s="803">
        <v>3230.1590495698101</v>
      </c>
      <c r="I166" s="803">
        <v>1937.2665985609631</v>
      </c>
      <c r="J166" s="803">
        <v>1103.3760599850216</v>
      </c>
      <c r="K166" s="803">
        <v>6522.2569716485195</v>
      </c>
      <c r="L166" s="803">
        <v>5914.2837824858798</v>
      </c>
      <c r="M166" s="803">
        <v>647.40708988059112</v>
      </c>
      <c r="N166" s="578"/>
      <c r="O166" s="429"/>
      <c r="P166" s="429"/>
      <c r="Q166" s="429">
        <f>Valuation!$C$9 * USD_2000/USD_BaseYear</f>
        <v>33.069339327731633</v>
      </c>
      <c r="R166" s="803">
        <v>76.612072519705393</v>
      </c>
      <c r="S166" s="803">
        <v>3692.2788154384898</v>
      </c>
      <c r="T166" s="803">
        <v>2193.4159059282065</v>
      </c>
      <c r="U166" s="803">
        <v>1004.5145749741839</v>
      </c>
      <c r="V166" s="803">
        <v>6438.4339127021894</v>
      </c>
      <c r="W166" s="803">
        <v>5466.3661955352409</v>
      </c>
      <c r="X166" s="803">
        <v>684.03202470052361</v>
      </c>
      <c r="AA166" s="201"/>
      <c r="AB166" s="201"/>
      <c r="AC166" s="201"/>
      <c r="AD166" s="201"/>
      <c r="AE166" s="201"/>
      <c r="AF166" s="201"/>
      <c r="AG166" s="201"/>
      <c r="AH166" s="201"/>
      <c r="AI166" s="201"/>
      <c r="AJ166" s="201"/>
      <c r="AK166" s="201"/>
      <c r="AL166" s="201"/>
      <c r="AM166" s="201"/>
    </row>
    <row r="167" spans="1:39">
      <c r="A167" s="949"/>
      <c r="B167" s="640" t="b">
        <f>IF(AND(C170=C167,D170=D167),TRUE,FALSE)</f>
        <v>0</v>
      </c>
      <c r="C167" s="636" t="str">
        <f>$C$32</f>
        <v>95% Elec Source</v>
      </c>
      <c r="D167" s="429" t="str">
        <f t="shared" si="77"/>
        <v>95% Worst</v>
      </c>
      <c r="E167" s="429"/>
      <c r="F167" s="429">
        <f>Valuation!$C$9 * USD_2000/USD_BaseYear</f>
        <v>33.069339327731633</v>
      </c>
      <c r="G167" s="803">
        <v>509.23542843304386</v>
      </c>
      <c r="H167" s="803">
        <v>130735.6094862685</v>
      </c>
      <c r="I167" s="803">
        <v>4086.9784988786341</v>
      </c>
      <c r="J167" s="803">
        <v>6676.942590512007</v>
      </c>
      <c r="K167" s="803">
        <v>44423.994572708703</v>
      </c>
      <c r="L167" s="803">
        <v>10353.984781669868</v>
      </c>
      <c r="M167" s="803">
        <v>4364.5361800063456</v>
      </c>
      <c r="N167" s="578"/>
      <c r="O167" s="429"/>
      <c r="P167" s="429"/>
      <c r="Q167" s="429">
        <f>Valuation!$C$9 * USD_2000/USD_BaseYear</f>
        <v>33.069339327731633</v>
      </c>
      <c r="R167" s="803">
        <v>355.81336960790378</v>
      </c>
      <c r="S167" s="803">
        <v>38258.745369652497</v>
      </c>
      <c r="T167" s="803">
        <v>2510.7192037753562</v>
      </c>
      <c r="U167" s="803">
        <v>4665.3184542146892</v>
      </c>
      <c r="V167" s="803">
        <v>34459.751796292912</v>
      </c>
      <c r="W167" s="803">
        <v>13726.22073598558</v>
      </c>
      <c r="X167" s="803">
        <v>3326.4134474632024</v>
      </c>
      <c r="AA167" s="201"/>
      <c r="AB167" s="201"/>
      <c r="AC167" s="201"/>
      <c r="AD167" s="201"/>
      <c r="AE167" s="201"/>
      <c r="AF167" s="201"/>
      <c r="AG167" s="201"/>
      <c r="AH167" s="201"/>
      <c r="AI167" s="201"/>
      <c r="AJ167" s="201"/>
      <c r="AK167" s="201"/>
      <c r="AL167" s="201"/>
      <c r="AM167" s="201"/>
    </row>
    <row r="168" spans="1:39">
      <c r="A168" s="949"/>
      <c r="B168" s="640" t="b">
        <f>IF(AND(C170=C168,D170=D168),TRUE,FALSE)</f>
        <v>0</v>
      </c>
      <c r="C168" s="636" t="str">
        <f>$C$32</f>
        <v>95% Elec Source</v>
      </c>
      <c r="D168" s="429" t="str">
        <f t="shared" si="77"/>
        <v>Avg 3100 US Counties</v>
      </c>
      <c r="E168" s="429"/>
      <c r="F168" s="429">
        <f>Valuation!$C$9 * USD_2000/USD_BaseYear</f>
        <v>33.069339327731633</v>
      </c>
      <c r="G168" s="803">
        <v>146.14002230235161</v>
      </c>
      <c r="H168" s="803">
        <v>12406.524904856851</v>
      </c>
      <c r="I168" s="803">
        <v>1592.3617962842493</v>
      </c>
      <c r="J168" s="803">
        <v>1916.144251965062</v>
      </c>
      <c r="K168" s="803">
        <v>12869.822540784791</v>
      </c>
      <c r="L168" s="803">
        <v>5650.8448567385039</v>
      </c>
      <c r="M168" s="803">
        <v>1251.5707625829191</v>
      </c>
      <c r="N168" s="578"/>
      <c r="O168" s="429"/>
      <c r="P168" s="429"/>
      <c r="Q168" s="429">
        <f>Valuation!$C$9 * USD_2000/USD_BaseYear</f>
        <v>33.069339327731633</v>
      </c>
      <c r="R168" s="803">
        <v>146.14002230235161</v>
      </c>
      <c r="S168" s="803">
        <v>12406.524904856851</v>
      </c>
      <c r="T168" s="803">
        <v>1592.3617962842493</v>
      </c>
      <c r="U168" s="803">
        <v>1916.144251965062</v>
      </c>
      <c r="V168" s="803">
        <v>12869.822540784791</v>
      </c>
      <c r="W168" s="803">
        <v>5650.8448567385039</v>
      </c>
      <c r="X168" s="803">
        <v>1251.5707625829191</v>
      </c>
      <c r="AA168" s="201"/>
      <c r="AB168" s="201"/>
      <c r="AC168" s="201"/>
      <c r="AD168" s="201"/>
      <c r="AE168" s="201"/>
      <c r="AF168" s="201"/>
      <c r="AG168" s="201"/>
      <c r="AH168" s="201"/>
      <c r="AI168" s="201"/>
      <c r="AJ168" s="201"/>
      <c r="AK168" s="201"/>
      <c r="AL168" s="201"/>
      <c r="AM168" s="201"/>
    </row>
    <row r="169" spans="1:39">
      <c r="A169" s="949"/>
      <c r="B169" s="640" t="b">
        <f>IF(AND(C170=C169,D170=D169),TRUE,FALSE)</f>
        <v>0</v>
      </c>
      <c r="C169" s="636" t="str">
        <f>$C$32</f>
        <v>95% Elec Source</v>
      </c>
      <c r="D169" s="429" t="str">
        <f t="shared" si="77"/>
        <v>Wgt Avg Auto Manuf Counties</v>
      </c>
      <c r="E169" s="429"/>
      <c r="F169" s="429">
        <f>Valuation!$C$9 * USD_2000/USD_BaseYear</f>
        <v>33.069339327731633</v>
      </c>
      <c r="G169" s="803">
        <v>354.62629882054574</v>
      </c>
      <c r="H169" s="803">
        <v>37315.317677830753</v>
      </c>
      <c r="I169" s="803">
        <v>2041.9326029148592</v>
      </c>
      <c r="J169" s="803">
        <v>3774.7034722860535</v>
      </c>
      <c r="K169" s="803">
        <v>25330.941165080971</v>
      </c>
      <c r="L169" s="803">
        <v>10091.617676883025</v>
      </c>
      <c r="M169" s="803">
        <v>1902.0734009168641</v>
      </c>
      <c r="N169" s="578"/>
      <c r="O169" s="429"/>
      <c r="P169" s="429"/>
      <c r="Q169" s="429">
        <f>Valuation!$C$9 * USD_2000/USD_BaseYear</f>
        <v>33.069339327731633</v>
      </c>
      <c r="R169" s="803">
        <v>354.62629882054574</v>
      </c>
      <c r="S169" s="803">
        <v>37315.317677830753</v>
      </c>
      <c r="T169" s="803">
        <v>2041.9326029148592</v>
      </c>
      <c r="U169" s="803">
        <v>3774.7034722860535</v>
      </c>
      <c r="V169" s="803">
        <v>25330.941165080971</v>
      </c>
      <c r="W169" s="803">
        <v>10091.617676883025</v>
      </c>
      <c r="X169" s="803">
        <v>1902.0734009168641</v>
      </c>
      <c r="AA169" s="201"/>
      <c r="AB169" s="201"/>
      <c r="AC169" s="201"/>
      <c r="AD169" s="201"/>
      <c r="AE169" s="201"/>
      <c r="AF169" s="201"/>
      <c r="AG169" s="201"/>
      <c r="AH169" s="201"/>
      <c r="AI169" s="201"/>
      <c r="AJ169" s="201"/>
      <c r="AK169" s="201"/>
      <c r="AL169" s="201"/>
      <c r="AM169" s="201"/>
    </row>
    <row r="170" spans="1:39" s="159" customFormat="1">
      <c r="A170" s="949"/>
      <c r="B170" s="640"/>
      <c r="C170" s="485" t="str">
        <f>SUMMARY!$B$15</f>
        <v>US Avg Elec</v>
      </c>
      <c r="D170" s="485" t="str">
        <f>SUMMARY!B14</f>
        <v>Wgt Avg Auto Manuf Counties</v>
      </c>
      <c r="E170" s="485">
        <f t="array" ref="E170">SUM(IF($B155:$B169=TRUE,E155:E169))</f>
        <v>0</v>
      </c>
      <c r="F170" s="485">
        <f t="array" ref="F170">SUM(IF($B155:$B169=TRUE,F155:F169))</f>
        <v>33.069339327731633</v>
      </c>
      <c r="G170" s="485">
        <f t="array" ref="G170">SUM(IF($B155:$B169=TRUE,G155:G169))</f>
        <v>354.62629882054574</v>
      </c>
      <c r="H170" s="485">
        <f t="array" ref="H170">SUM(IF($B155:$B169=TRUE,H155:H169))</f>
        <v>37315.317677830753</v>
      </c>
      <c r="I170" s="485">
        <f t="array" ref="I170">SUM(IF($B155:$B169=TRUE,I155:I169))</f>
        <v>2041.9326029148592</v>
      </c>
      <c r="J170" s="485">
        <f t="array" ref="J170">SUM(IF($B155:$B169=TRUE,J155:J169))</f>
        <v>3774.7034722860535</v>
      </c>
      <c r="K170" s="485">
        <f t="array" ref="K170">SUM(IF($B155:$B169=TRUE,K155:K169))</f>
        <v>25330.941165080971</v>
      </c>
      <c r="L170" s="485">
        <f t="array" ref="L170">SUM(IF($B155:$B169=TRUE,L155:L169))</f>
        <v>10091.617676883025</v>
      </c>
      <c r="M170" s="485">
        <f t="array" ref="M170">SUM(IF($B155:$B169=TRUE,M155:M169))</f>
        <v>1902.0734009168641</v>
      </c>
      <c r="N170" s="579"/>
      <c r="O170" s="485"/>
      <c r="P170" s="485">
        <f t="array" ref="P170">SUM(IF($B155:$B169=TRUE,P155:P169))</f>
        <v>0</v>
      </c>
      <c r="Q170" s="485">
        <f t="array" ref="Q170">SUM(IF($B155:$B169=TRUE,Q155:Q169))</f>
        <v>33.069339327731633</v>
      </c>
      <c r="R170" s="485">
        <f t="array" ref="R170">SUM(IF($B155:$B169=TRUE,R155:R169))</f>
        <v>354.62629882054574</v>
      </c>
      <c r="S170" s="485">
        <f t="array" ref="S170">SUM(IF($B155:$B169=TRUE,S155:S169))</f>
        <v>37315.317677830753</v>
      </c>
      <c r="T170" s="485">
        <f t="array" ref="T170">SUM(IF($B155:$B169=TRUE,T155:T169))</f>
        <v>2041.9326029148592</v>
      </c>
      <c r="U170" s="485">
        <f t="array" ref="U170">SUM(IF($B155:$B169=TRUE,U155:U169))</f>
        <v>3774.7034722860535</v>
      </c>
      <c r="V170" s="485">
        <f t="array" ref="V170">SUM(IF($B155:$B169=TRUE,V155:V169))</f>
        <v>25330.941165080971</v>
      </c>
      <c r="W170" s="485">
        <f t="array" ref="W170">SUM(IF($B155:$B169=TRUE,W155:W169))</f>
        <v>10091.617676883025</v>
      </c>
      <c r="X170" s="485">
        <f t="array" ref="X170">SUM(IF($B155:$B169=TRUE,X155:X169))</f>
        <v>1902.0734009168641</v>
      </c>
      <c r="AA170" s="429"/>
      <c r="AB170" s="429"/>
      <c r="AC170" s="429"/>
      <c r="AD170" s="429"/>
      <c r="AE170" s="429"/>
      <c r="AF170" s="429"/>
      <c r="AG170" s="429"/>
      <c r="AH170" s="429"/>
      <c r="AI170" s="429"/>
      <c r="AJ170" s="429"/>
      <c r="AK170" s="429"/>
      <c r="AL170" s="429"/>
      <c r="AM170" s="429"/>
    </row>
    <row r="171" spans="1:39">
      <c r="A171" s="949"/>
      <c r="B171" s="640"/>
      <c r="C171" s="632"/>
      <c r="D171" s="201"/>
      <c r="E171" s="201"/>
      <c r="F171" s="201"/>
      <c r="G171" s="201"/>
      <c r="H171" s="201"/>
      <c r="I171" s="201"/>
      <c r="J171" s="201"/>
      <c r="K171" s="201"/>
      <c r="L171" s="201"/>
      <c r="M171" s="201"/>
      <c r="N171" s="580"/>
      <c r="O171" s="201"/>
      <c r="P171" s="201"/>
      <c r="Q171" s="201"/>
      <c r="R171" s="201"/>
      <c r="S171" s="201"/>
      <c r="T171" s="201"/>
      <c r="U171" s="201"/>
      <c r="V171" s="201"/>
      <c r="W171" s="201"/>
      <c r="X171" s="201"/>
      <c r="AA171" s="201"/>
      <c r="AB171" s="201"/>
      <c r="AC171" s="201"/>
      <c r="AD171" s="201"/>
      <c r="AE171" s="201"/>
      <c r="AF171" s="201"/>
      <c r="AG171" s="201"/>
      <c r="AH171" s="201"/>
      <c r="AI171" s="201"/>
      <c r="AJ171" s="201"/>
      <c r="AK171" s="201"/>
      <c r="AL171" s="201"/>
      <c r="AM171" s="201"/>
    </row>
    <row r="172" spans="1:39">
      <c r="A172" s="949"/>
      <c r="B172" s="640"/>
      <c r="C172" s="632"/>
      <c r="D172" s="481" t="s">
        <v>448</v>
      </c>
      <c r="E172" s="201"/>
      <c r="F172" s="201"/>
      <c r="G172" s="201"/>
      <c r="H172" s="201"/>
      <c r="I172" s="201"/>
      <c r="J172" s="201"/>
      <c r="K172" s="201"/>
      <c r="L172" s="201"/>
      <c r="M172" s="201"/>
      <c r="N172" s="580"/>
      <c r="O172" s="481" t="s">
        <v>444</v>
      </c>
      <c r="P172" s="201"/>
      <c r="Q172" s="201"/>
      <c r="R172" s="201"/>
      <c r="S172" s="201"/>
      <c r="T172" s="201"/>
      <c r="U172" s="201"/>
      <c r="V172" s="201"/>
      <c r="W172" s="201"/>
      <c r="X172" s="201"/>
      <c r="AA172" s="201"/>
      <c r="AB172" s="201"/>
      <c r="AC172" s="201"/>
      <c r="AD172" s="201"/>
      <c r="AE172" s="201"/>
      <c r="AF172" s="201"/>
      <c r="AG172" s="201"/>
      <c r="AH172" s="201"/>
      <c r="AI172" s="201"/>
      <c r="AJ172" s="201"/>
      <c r="AK172" s="201"/>
      <c r="AL172" s="201"/>
      <c r="AM172" s="201"/>
    </row>
    <row r="173" spans="1:39" ht="15.75" thickBot="1">
      <c r="A173" s="949"/>
      <c r="B173" s="640"/>
      <c r="C173" s="637"/>
      <c r="D173" s="482"/>
      <c r="E173" s="482" t="s">
        <v>1</v>
      </c>
      <c r="F173" s="482" t="s">
        <v>15</v>
      </c>
      <c r="G173" s="483" t="s">
        <v>2</v>
      </c>
      <c r="H173" s="483" t="s">
        <v>43</v>
      </c>
      <c r="I173" s="483" t="s">
        <v>25</v>
      </c>
      <c r="J173" s="483" t="s">
        <v>26</v>
      </c>
      <c r="K173" s="483" t="s">
        <v>27</v>
      </c>
      <c r="L173" s="483" t="s">
        <v>39</v>
      </c>
      <c r="M173" s="483" t="s">
        <v>3</v>
      </c>
      <c r="N173" s="581"/>
      <c r="O173" s="482"/>
      <c r="P173" s="482" t="s">
        <v>1</v>
      </c>
      <c r="Q173" s="482" t="s">
        <v>15</v>
      </c>
      <c r="R173" s="483" t="s">
        <v>2</v>
      </c>
      <c r="S173" s="483" t="s">
        <v>43</v>
      </c>
      <c r="T173" s="483" t="s">
        <v>25</v>
      </c>
      <c r="U173" s="483" t="s">
        <v>26</v>
      </c>
      <c r="V173" s="483" t="s">
        <v>27</v>
      </c>
      <c r="W173" s="483" t="s">
        <v>39</v>
      </c>
      <c r="X173" s="483" t="s">
        <v>3</v>
      </c>
      <c r="AA173" s="201"/>
      <c r="AB173" s="201"/>
      <c r="AC173" s="201"/>
      <c r="AD173" s="201"/>
      <c r="AE173" s="201"/>
      <c r="AF173" s="201"/>
      <c r="AG173" s="201"/>
      <c r="AH173" s="201"/>
      <c r="AI173" s="201"/>
      <c r="AJ173" s="201"/>
      <c r="AK173" s="201"/>
      <c r="AL173" s="201"/>
      <c r="AM173" s="201"/>
    </row>
    <row r="174" spans="1:39" ht="15.75" thickTop="1">
      <c r="A174" s="949"/>
      <c r="B174" s="640" t="b">
        <f>IF(AND(C189=C174,D189=D174),TRUE,FALSE)</f>
        <v>0</v>
      </c>
      <c r="C174" s="636" t="str">
        <f>C155</f>
        <v>US Avg Elec</v>
      </c>
      <c r="D174" s="429" t="str">
        <f>D155</f>
        <v>5% Best</v>
      </c>
      <c r="E174" s="429"/>
      <c r="F174" s="429">
        <f>Valuation!$C$9 * USD_2000/USD_BaseYear</f>
        <v>33.069339327731633</v>
      </c>
      <c r="G174" s="803">
        <v>34.069027631332141</v>
      </c>
      <c r="H174" s="803">
        <v>862.77024384651997</v>
      </c>
      <c r="I174" s="803">
        <v>676.99834334180821</v>
      </c>
      <c r="J174" s="803">
        <v>446.70289792863753</v>
      </c>
      <c r="K174" s="803">
        <v>2267.1688660407099</v>
      </c>
      <c r="L174" s="803">
        <v>2166.6799623984903</v>
      </c>
      <c r="M174" s="803">
        <v>218.50029205051933</v>
      </c>
      <c r="N174" s="578"/>
      <c r="O174" s="429"/>
      <c r="P174" s="429"/>
      <c r="Q174" s="429">
        <f>Valuation!$C$9 * USD_2000/USD_BaseYear</f>
        <v>33.069339327731633</v>
      </c>
      <c r="R174" s="803">
        <v>47.319862113935955</v>
      </c>
      <c r="S174" s="803">
        <v>1049.5014490671269</v>
      </c>
      <c r="T174" s="803">
        <v>1137.035210860131</v>
      </c>
      <c r="U174" s="803">
        <v>620.44387543479218</v>
      </c>
      <c r="V174" s="803">
        <v>2942.3147018121299</v>
      </c>
      <c r="W174" s="803">
        <v>1719.8139804375896</v>
      </c>
      <c r="X174" s="803">
        <v>291.68112084656718</v>
      </c>
      <c r="AA174" s="201"/>
      <c r="AB174" s="201"/>
      <c r="AC174" s="201"/>
      <c r="AD174" s="201"/>
      <c r="AE174" s="201"/>
      <c r="AF174" s="201"/>
      <c r="AG174" s="201"/>
      <c r="AH174" s="201"/>
      <c r="AI174" s="201"/>
      <c r="AJ174" s="201"/>
      <c r="AK174" s="201"/>
      <c r="AL174" s="201"/>
      <c r="AM174" s="201"/>
    </row>
    <row r="175" spans="1:39">
      <c r="A175" s="949"/>
      <c r="B175" s="640" t="b">
        <f>IF(AND(C189=C175,D189=D175),TRUE,FALSE)</f>
        <v>0</v>
      </c>
      <c r="C175" s="636" t="str">
        <f t="shared" ref="C175:D175" si="78">C156</f>
        <v>US Avg Elec</v>
      </c>
      <c r="D175" s="429" t="str">
        <f t="shared" si="78"/>
        <v>50% Median</v>
      </c>
      <c r="E175" s="429"/>
      <c r="F175" s="429">
        <f>Valuation!$C$9 * USD_2000/USD_BaseYear</f>
        <v>33.069339327731633</v>
      </c>
      <c r="G175" s="803">
        <v>77.577104170284215</v>
      </c>
      <c r="H175" s="803">
        <v>3246.0444578582201</v>
      </c>
      <c r="I175" s="803">
        <v>2598.1638183457867</v>
      </c>
      <c r="J175" s="803">
        <v>1017.1677812696862</v>
      </c>
      <c r="K175" s="803">
        <v>6769.9386068263493</v>
      </c>
      <c r="L175" s="803">
        <v>5390.9647949973105</v>
      </c>
      <c r="M175" s="803">
        <v>731.47840145935754</v>
      </c>
      <c r="N175" s="578"/>
      <c r="O175" s="429"/>
      <c r="P175" s="429"/>
      <c r="Q175" s="429">
        <f>Valuation!$C$9 * USD_2000/USD_BaseYear</f>
        <v>33.069339327731633</v>
      </c>
      <c r="R175" s="803">
        <v>69.461496805086213</v>
      </c>
      <c r="S175" s="803">
        <v>2678.9360433487686</v>
      </c>
      <c r="T175" s="803">
        <v>1800.6174791147484</v>
      </c>
      <c r="U175" s="803">
        <v>910.75836542974298</v>
      </c>
      <c r="V175" s="803">
        <v>6240.8027225549104</v>
      </c>
      <c r="W175" s="803">
        <v>5395.2450698140401</v>
      </c>
      <c r="X175" s="803">
        <v>613.17630137112099</v>
      </c>
      <c r="AA175" s="201"/>
      <c r="AB175" s="201"/>
      <c r="AC175" s="201"/>
      <c r="AD175" s="201"/>
      <c r="AE175" s="201"/>
      <c r="AF175" s="201"/>
      <c r="AG175" s="201"/>
      <c r="AH175" s="201"/>
      <c r="AI175" s="201"/>
      <c r="AJ175" s="201"/>
      <c r="AK175" s="201"/>
      <c r="AL175" s="201"/>
      <c r="AM175" s="201"/>
    </row>
    <row r="176" spans="1:39">
      <c r="A176" s="949"/>
      <c r="B176" s="640" t="b">
        <f>IF(AND(C189=C176,D189=D176),TRUE,FALSE)</f>
        <v>0</v>
      </c>
      <c r="C176" s="636" t="str">
        <f t="shared" ref="C176:D176" si="79">C157</f>
        <v>US Avg Elec</v>
      </c>
      <c r="D176" s="429" t="str">
        <f t="shared" si="79"/>
        <v>95% Worst</v>
      </c>
      <c r="E176" s="429"/>
      <c r="F176" s="429">
        <f>Valuation!$C$9 * USD_2000/USD_BaseYear</f>
        <v>33.069339327731633</v>
      </c>
      <c r="G176" s="803">
        <v>659.00828892861171</v>
      </c>
      <c r="H176" s="803">
        <v>209508.31893470249</v>
      </c>
      <c r="I176" s="803">
        <v>3235.6770766871996</v>
      </c>
      <c r="J176" s="803">
        <v>8640.7195300364674</v>
      </c>
      <c r="K176" s="803">
        <v>51835.770474452198</v>
      </c>
      <c r="L176" s="803">
        <v>8665.4334522951885</v>
      </c>
      <c r="M176" s="803">
        <v>4960.6665410025971</v>
      </c>
      <c r="N176" s="578"/>
      <c r="O176" s="429"/>
      <c r="P176" s="429"/>
      <c r="Q176" s="429">
        <f>Valuation!$C$9 * USD_2000/USD_BaseYear</f>
        <v>33.069339327731633</v>
      </c>
      <c r="R176" s="803">
        <v>402.50687075297736</v>
      </c>
      <c r="S176" s="803">
        <v>43685.445995008704</v>
      </c>
      <c r="T176" s="803">
        <v>2311.5257078084132</v>
      </c>
      <c r="U176" s="803">
        <v>5277.5496720131096</v>
      </c>
      <c r="V176" s="803">
        <v>38327.948473694298</v>
      </c>
      <c r="W176" s="803">
        <v>13302.1196871988</v>
      </c>
      <c r="X176" s="803">
        <v>3673.9674448282772</v>
      </c>
      <c r="AA176" s="201"/>
      <c r="AB176" s="201"/>
      <c r="AC176" s="201"/>
      <c r="AD176" s="201"/>
      <c r="AE176" s="201"/>
      <c r="AF176" s="201"/>
      <c r="AG176" s="201"/>
      <c r="AH176" s="201"/>
      <c r="AI176" s="201"/>
      <c r="AJ176" s="201"/>
      <c r="AK176" s="201"/>
      <c r="AL176" s="201"/>
      <c r="AM176" s="201"/>
    </row>
    <row r="177" spans="1:39">
      <c r="A177" s="949"/>
      <c r="B177" s="640" t="b">
        <f>IF(AND(C189=C177,D189=D177),TRUE,FALSE)</f>
        <v>0</v>
      </c>
      <c r="C177" s="636" t="str">
        <f t="shared" ref="C177:D177" si="80">C158</f>
        <v>US Avg Elec</v>
      </c>
      <c r="D177" s="429" t="str">
        <f t="shared" si="80"/>
        <v>Avg 3100 US Counties</v>
      </c>
      <c r="E177" s="429"/>
      <c r="F177" s="429">
        <f>Valuation!$C$9 * USD_2000/USD_BaseYear</f>
        <v>33.069339327731633</v>
      </c>
      <c r="G177" s="803">
        <v>146.14002230235161</v>
      </c>
      <c r="H177" s="803">
        <v>12406.524904856851</v>
      </c>
      <c r="I177" s="803">
        <v>1592.3617962842493</v>
      </c>
      <c r="J177" s="803">
        <v>1916.144251965062</v>
      </c>
      <c r="K177" s="803">
        <v>12869.822540784791</v>
      </c>
      <c r="L177" s="803">
        <v>5650.8448567385039</v>
      </c>
      <c r="M177" s="803">
        <v>1251.5707625829191</v>
      </c>
      <c r="N177" s="578"/>
      <c r="O177" s="429"/>
      <c r="P177" s="429"/>
      <c r="Q177" s="429">
        <f>Valuation!$C$9 * USD_2000/USD_BaseYear</f>
        <v>33.069339327731633</v>
      </c>
      <c r="R177" s="803">
        <v>146.14002230235161</v>
      </c>
      <c r="S177" s="803">
        <v>12406.524904856851</v>
      </c>
      <c r="T177" s="803">
        <v>1592.3617962842493</v>
      </c>
      <c r="U177" s="803">
        <v>1916.144251965062</v>
      </c>
      <c r="V177" s="803">
        <v>12869.822540784791</v>
      </c>
      <c r="W177" s="803">
        <v>5650.8448567385039</v>
      </c>
      <c r="X177" s="803">
        <v>1251.5707625829191</v>
      </c>
      <c r="AA177" s="201"/>
      <c r="AB177" s="201"/>
      <c r="AC177" s="201"/>
      <c r="AD177" s="201"/>
      <c r="AE177" s="201"/>
      <c r="AF177" s="201"/>
      <c r="AG177" s="201"/>
      <c r="AH177" s="201"/>
      <c r="AI177" s="201"/>
      <c r="AJ177" s="201"/>
      <c r="AK177" s="201"/>
      <c r="AL177" s="201"/>
      <c r="AM177" s="201"/>
    </row>
    <row r="178" spans="1:39">
      <c r="A178" s="949"/>
      <c r="B178" s="640" t="b">
        <f>IF(AND(C189=C178,D189=D178),TRUE,FALSE)</f>
        <v>1</v>
      </c>
      <c r="C178" s="636" t="str">
        <f t="shared" ref="C178:D178" si="81">C159</f>
        <v>US Avg Elec</v>
      </c>
      <c r="D178" s="429" t="str">
        <f t="shared" si="81"/>
        <v>Wgt Avg Auto Manuf Counties</v>
      </c>
      <c r="E178" s="429"/>
      <c r="F178" s="429">
        <f>Valuation!$C$9 * USD_2000/USD_BaseYear</f>
        <v>33.069339327731633</v>
      </c>
      <c r="G178" s="803">
        <v>354.62629882054574</v>
      </c>
      <c r="H178" s="803">
        <v>37315.317677830753</v>
      </c>
      <c r="I178" s="803">
        <v>2041.9326029148592</v>
      </c>
      <c r="J178" s="803">
        <v>3774.7034722860535</v>
      </c>
      <c r="K178" s="803">
        <v>25330.941165080971</v>
      </c>
      <c r="L178" s="803">
        <v>10091.617676883025</v>
      </c>
      <c r="M178" s="803">
        <v>1902.0734009168641</v>
      </c>
      <c r="N178" s="578"/>
      <c r="O178" s="429"/>
      <c r="P178" s="429"/>
      <c r="Q178" s="429">
        <f>Valuation!$C$9 * USD_2000/USD_BaseYear</f>
        <v>33.069339327731633</v>
      </c>
      <c r="R178" s="803">
        <v>354.62629882054574</v>
      </c>
      <c r="S178" s="803">
        <v>37315.317677830753</v>
      </c>
      <c r="T178" s="803">
        <v>2041.9326029148592</v>
      </c>
      <c r="U178" s="803">
        <v>3774.7034722860535</v>
      </c>
      <c r="V178" s="803">
        <v>25330.941165080971</v>
      </c>
      <c r="W178" s="803">
        <v>10091.617676883025</v>
      </c>
      <c r="X178" s="803">
        <v>1902.0734009168641</v>
      </c>
      <c r="AA178" s="201"/>
      <c r="AB178" s="201"/>
      <c r="AC178" s="201"/>
      <c r="AD178" s="201"/>
      <c r="AE178" s="201"/>
      <c r="AF178" s="201"/>
      <c r="AG178" s="201"/>
      <c r="AH178" s="201"/>
      <c r="AI178" s="201"/>
      <c r="AJ178" s="201"/>
      <c r="AK178" s="201"/>
      <c r="AL178" s="201"/>
      <c r="AM178" s="201"/>
    </row>
    <row r="179" spans="1:39">
      <c r="A179" s="949"/>
      <c r="B179" s="640" t="b">
        <f>IF(AND(C189=C179,D189=D179),TRUE,FALSE)</f>
        <v>0</v>
      </c>
      <c r="C179" s="636" t="str">
        <f t="shared" ref="C179:D179" si="82">C160</f>
        <v>5% Elec Source</v>
      </c>
      <c r="D179" s="429" t="str">
        <f t="shared" si="82"/>
        <v>5% Best</v>
      </c>
      <c r="E179" s="429"/>
      <c r="F179" s="429">
        <f>Valuation!$C$9 * USD_2000/USD_BaseYear</f>
        <v>33.069339327731633</v>
      </c>
      <c r="G179" s="803">
        <v>41.530938967930418</v>
      </c>
      <c r="H179" s="803">
        <v>896.49501745144596</v>
      </c>
      <c r="I179" s="803">
        <v>1220.8574011851483</v>
      </c>
      <c r="J179" s="803">
        <v>544.54124700671673</v>
      </c>
      <c r="K179" s="803">
        <v>2852.7629309877293</v>
      </c>
      <c r="L179" s="803">
        <v>1746.4788910264901</v>
      </c>
      <c r="M179" s="803">
        <v>291.68970895398343</v>
      </c>
      <c r="N179" s="578"/>
      <c r="O179" s="429"/>
      <c r="P179" s="429"/>
      <c r="Q179" s="429">
        <f>Valuation!$C$9 * USD_2000/USD_BaseYear</f>
        <v>33.069339327731633</v>
      </c>
      <c r="R179" s="803">
        <v>67.764955784432573</v>
      </c>
      <c r="S179" s="803">
        <v>960.61723797206287</v>
      </c>
      <c r="T179" s="803">
        <v>1850.4431639715006</v>
      </c>
      <c r="U179" s="803">
        <v>888.5138271182409</v>
      </c>
      <c r="V179" s="803">
        <v>5232.2396825364794</v>
      </c>
      <c r="W179" s="803">
        <v>1663.3513905167699</v>
      </c>
      <c r="X179" s="803">
        <v>531.1305110753284</v>
      </c>
      <c r="AA179" s="201"/>
      <c r="AB179" s="201"/>
      <c r="AC179" s="201"/>
      <c r="AD179" s="201"/>
      <c r="AE179" s="201"/>
      <c r="AF179" s="201"/>
      <c r="AG179" s="201"/>
      <c r="AH179" s="201"/>
      <c r="AI179" s="201"/>
      <c r="AJ179" s="201"/>
      <c r="AK179" s="201"/>
      <c r="AL179" s="201"/>
      <c r="AM179" s="201"/>
    </row>
    <row r="180" spans="1:39">
      <c r="A180" s="949"/>
      <c r="B180" s="640" t="b">
        <f>IF(AND(C189=C180,D189=D180),TRUE,FALSE)</f>
        <v>0</v>
      </c>
      <c r="C180" s="636" t="str">
        <f t="shared" ref="C180:D180" si="83">C161</f>
        <v>5% Elec Source</v>
      </c>
      <c r="D180" s="429" t="str">
        <f t="shared" si="83"/>
        <v>50% Median</v>
      </c>
      <c r="E180" s="429"/>
      <c r="F180" s="429">
        <f>Valuation!$C$9 * USD_2000/USD_BaseYear</f>
        <v>33.069339327731633</v>
      </c>
      <c r="G180" s="803">
        <v>87.054404453649838</v>
      </c>
      <c r="H180" s="803">
        <v>2166.3263409302417</v>
      </c>
      <c r="I180" s="803">
        <v>2193.9734781373418</v>
      </c>
      <c r="J180" s="803">
        <v>1141.4313072772757</v>
      </c>
      <c r="K180" s="803">
        <v>6463.8521091994799</v>
      </c>
      <c r="L180" s="803">
        <v>5781.0650514271392</v>
      </c>
      <c r="M180" s="803">
        <v>663.66386244009482</v>
      </c>
      <c r="N180" s="578"/>
      <c r="O180" s="429"/>
      <c r="P180" s="429"/>
      <c r="Q180" s="429">
        <f>Valuation!$C$9 * USD_2000/USD_BaseYear</f>
        <v>33.069339327731633</v>
      </c>
      <c r="R180" s="803">
        <v>74.704859472243015</v>
      </c>
      <c r="S180" s="803">
        <v>3397.4105400134899</v>
      </c>
      <c r="T180" s="803">
        <v>2028.5280465109936</v>
      </c>
      <c r="U180" s="803">
        <v>979.50776807355953</v>
      </c>
      <c r="V180" s="803">
        <v>6623.532925566079</v>
      </c>
      <c r="W180" s="803">
        <v>5367.0953458905697</v>
      </c>
      <c r="X180" s="803">
        <v>655.01708119747627</v>
      </c>
      <c r="AA180" s="201"/>
      <c r="AB180" s="201"/>
      <c r="AC180" s="201"/>
      <c r="AD180" s="201"/>
      <c r="AE180" s="201"/>
      <c r="AF180" s="201"/>
      <c r="AG180" s="201"/>
      <c r="AH180" s="201"/>
      <c r="AI180" s="201"/>
      <c r="AJ180" s="201"/>
      <c r="AK180" s="201"/>
      <c r="AL180" s="201"/>
      <c r="AM180" s="201"/>
    </row>
    <row r="181" spans="1:39">
      <c r="A181" s="949"/>
      <c r="B181" s="640" t="b">
        <f>IF(AND(C189=C181,D189=D181),TRUE,FALSE)</f>
        <v>0</v>
      </c>
      <c r="C181" s="636" t="str">
        <f t="shared" ref="C181:D181" si="84">C162</f>
        <v>5% Elec Source</v>
      </c>
      <c r="D181" s="429" t="str">
        <f t="shared" si="84"/>
        <v>95% Worst</v>
      </c>
      <c r="E181" s="429"/>
      <c r="F181" s="429">
        <f>Valuation!$C$9 * USD_2000/USD_BaseYear</f>
        <v>33.069339327731633</v>
      </c>
      <c r="G181" s="803">
        <v>509.23542843304386</v>
      </c>
      <c r="H181" s="803">
        <v>130735.6094862685</v>
      </c>
      <c r="I181" s="803">
        <v>4086.9784988786341</v>
      </c>
      <c r="J181" s="803">
        <v>6676.942590512007</v>
      </c>
      <c r="K181" s="803">
        <v>44423.994572708703</v>
      </c>
      <c r="L181" s="803">
        <v>10353.984781669868</v>
      </c>
      <c r="M181" s="803">
        <v>4364.5361800063456</v>
      </c>
      <c r="N181" s="578"/>
      <c r="O181" s="429"/>
      <c r="P181" s="429"/>
      <c r="Q181" s="429">
        <f>Valuation!$C$9 * USD_2000/USD_BaseYear</f>
        <v>33.069339327731633</v>
      </c>
      <c r="R181" s="803">
        <v>402.50687075297736</v>
      </c>
      <c r="S181" s="803">
        <v>43685.445995008704</v>
      </c>
      <c r="T181" s="803">
        <v>2311.5257078084132</v>
      </c>
      <c r="U181" s="803">
        <v>5277.5496720131096</v>
      </c>
      <c r="V181" s="803">
        <v>38327.948473694298</v>
      </c>
      <c r="W181" s="803">
        <v>13302.1196871988</v>
      </c>
      <c r="X181" s="803">
        <v>3673.9674448282772</v>
      </c>
      <c r="AA181" s="201"/>
      <c r="AB181" s="201"/>
      <c r="AC181" s="201"/>
      <c r="AD181" s="201"/>
      <c r="AE181" s="201"/>
      <c r="AF181" s="201"/>
      <c r="AG181" s="201"/>
      <c r="AH181" s="201"/>
      <c r="AI181" s="201"/>
      <c r="AJ181" s="201"/>
      <c r="AK181" s="201"/>
      <c r="AL181" s="201"/>
      <c r="AM181" s="201"/>
    </row>
    <row r="182" spans="1:39">
      <c r="A182" s="949"/>
      <c r="B182" s="640" t="b">
        <f>IF(AND(C189=C182,D189=D182),TRUE,FALSE)</f>
        <v>0</v>
      </c>
      <c r="C182" s="636" t="str">
        <f t="shared" ref="C182:D182" si="85">C163</f>
        <v>5% Elec Source</v>
      </c>
      <c r="D182" s="429" t="str">
        <f t="shared" si="85"/>
        <v>Avg 3100 US Counties</v>
      </c>
      <c r="E182" s="429"/>
      <c r="F182" s="429">
        <f>Valuation!$C$9 * USD_2000/USD_BaseYear</f>
        <v>33.069339327731633</v>
      </c>
      <c r="G182" s="803">
        <v>146.14002230235161</v>
      </c>
      <c r="H182" s="803">
        <v>12406.524904856851</v>
      </c>
      <c r="I182" s="803">
        <v>1592.3617962842493</v>
      </c>
      <c r="J182" s="803">
        <v>1916.144251965062</v>
      </c>
      <c r="K182" s="803">
        <v>12869.822540784791</v>
      </c>
      <c r="L182" s="803">
        <v>5650.8448567385039</v>
      </c>
      <c r="M182" s="803">
        <v>1251.5707625829191</v>
      </c>
      <c r="N182" s="578"/>
      <c r="O182" s="429"/>
      <c r="P182" s="429"/>
      <c r="Q182" s="429">
        <f>Valuation!$C$9 * USD_2000/USD_BaseYear</f>
        <v>33.069339327731633</v>
      </c>
      <c r="R182" s="803">
        <v>146.14002230235161</v>
      </c>
      <c r="S182" s="803">
        <v>12406.524904856851</v>
      </c>
      <c r="T182" s="803">
        <v>1592.3617962842493</v>
      </c>
      <c r="U182" s="803">
        <v>1916.144251965062</v>
      </c>
      <c r="V182" s="803">
        <v>12869.822540784791</v>
      </c>
      <c r="W182" s="803">
        <v>5650.8448567385039</v>
      </c>
      <c r="X182" s="803">
        <v>1251.5707625829191</v>
      </c>
      <c r="AA182" s="201"/>
      <c r="AB182" s="201"/>
      <c r="AC182" s="201"/>
      <c r="AD182" s="201"/>
      <c r="AE182" s="201"/>
      <c r="AF182" s="201"/>
      <c r="AG182" s="201"/>
      <c r="AH182" s="201"/>
      <c r="AI182" s="201"/>
      <c r="AJ182" s="201"/>
      <c r="AK182" s="201"/>
      <c r="AL182" s="201"/>
      <c r="AM182" s="201"/>
    </row>
    <row r="183" spans="1:39">
      <c r="A183" s="949"/>
      <c r="B183" s="640" t="b">
        <f>IF(AND(C189=C183,D189=D183),TRUE,FALSE)</f>
        <v>0</v>
      </c>
      <c r="C183" s="636" t="str">
        <f t="shared" ref="C183:D183" si="86">C164</f>
        <v>5% Elec Source</v>
      </c>
      <c r="D183" s="429" t="str">
        <f t="shared" si="86"/>
        <v>Wgt Avg Auto Manuf Counties</v>
      </c>
      <c r="E183" s="429"/>
      <c r="F183" s="429">
        <f>Valuation!$C$9 * USD_2000/USD_BaseYear</f>
        <v>33.069339327731633</v>
      </c>
      <c r="G183" s="803">
        <v>354.62629882054574</v>
      </c>
      <c r="H183" s="803">
        <v>37315.317677830753</v>
      </c>
      <c r="I183" s="803">
        <v>2041.9326029148592</v>
      </c>
      <c r="J183" s="803">
        <v>3774.7034722860535</v>
      </c>
      <c r="K183" s="803">
        <v>25330.941165080971</v>
      </c>
      <c r="L183" s="803">
        <v>10091.617676883025</v>
      </c>
      <c r="M183" s="803">
        <v>1902.0734009168641</v>
      </c>
      <c r="N183" s="578"/>
      <c r="O183" s="429"/>
      <c r="P183" s="429"/>
      <c r="Q183" s="429">
        <f>Valuation!$C$9 * USD_2000/USD_BaseYear</f>
        <v>33.069339327731633</v>
      </c>
      <c r="R183" s="803">
        <v>354.62629882054574</v>
      </c>
      <c r="S183" s="803">
        <v>37315.317677830753</v>
      </c>
      <c r="T183" s="803">
        <v>2041.9326029148592</v>
      </c>
      <c r="U183" s="803">
        <v>3774.7034722860535</v>
      </c>
      <c r="V183" s="803">
        <v>25330.941165080971</v>
      </c>
      <c r="W183" s="803">
        <v>10091.617676883025</v>
      </c>
      <c r="X183" s="803">
        <v>1902.0734009168641</v>
      </c>
      <c r="AA183" s="201"/>
      <c r="AB183" s="201"/>
      <c r="AC183" s="201"/>
      <c r="AD183" s="201"/>
      <c r="AE183" s="201"/>
      <c r="AF183" s="201"/>
      <c r="AG183" s="201"/>
      <c r="AH183" s="201"/>
      <c r="AI183" s="201"/>
      <c r="AJ183" s="201"/>
      <c r="AK183" s="201"/>
      <c r="AL183" s="201"/>
      <c r="AM183" s="201"/>
    </row>
    <row r="184" spans="1:39">
      <c r="A184" s="949"/>
      <c r="B184" s="640" t="b">
        <f>IF(AND(C189=C184,D189=D184),TRUE,FALSE)</f>
        <v>0</v>
      </c>
      <c r="C184" s="636" t="str">
        <f t="shared" ref="C184:D184" si="87">C165</f>
        <v>95% Elec Source</v>
      </c>
      <c r="D184" s="429" t="str">
        <f t="shared" si="87"/>
        <v>5% Best</v>
      </c>
      <c r="E184" s="429"/>
      <c r="F184" s="429">
        <f>Valuation!$C$9 * USD_2000/USD_BaseYear</f>
        <v>33.069339327731633</v>
      </c>
      <c r="G184" s="803">
        <v>60.384521593015265</v>
      </c>
      <c r="H184" s="803">
        <v>818.46471467029698</v>
      </c>
      <c r="I184" s="803">
        <v>1222.191334556851</v>
      </c>
      <c r="J184" s="803">
        <v>791.74378199239459</v>
      </c>
      <c r="K184" s="803">
        <v>3066.5308564020997</v>
      </c>
      <c r="L184" s="803">
        <v>1674.4108798899997</v>
      </c>
      <c r="M184" s="803">
        <v>310.76885702859209</v>
      </c>
      <c r="N184" s="578"/>
      <c r="O184" s="429"/>
      <c r="P184" s="429"/>
      <c r="Q184" s="429">
        <f>Valuation!$C$9 * USD_2000/USD_BaseYear</f>
        <v>33.069339327731633</v>
      </c>
      <c r="R184" s="803">
        <v>55.085600777402647</v>
      </c>
      <c r="S184" s="803">
        <v>862.48970561812496</v>
      </c>
      <c r="T184" s="803">
        <v>1180.3984512592262</v>
      </c>
      <c r="U184" s="803">
        <v>722.26591752726256</v>
      </c>
      <c r="V184" s="803">
        <v>2889.3210855838802</v>
      </c>
      <c r="W184" s="803">
        <v>1715.4863062345298</v>
      </c>
      <c r="X184" s="803">
        <v>293.34699322304994</v>
      </c>
      <c r="AA184" s="201"/>
      <c r="AB184" s="201"/>
      <c r="AC184" s="201"/>
      <c r="AD184" s="201"/>
      <c r="AE184" s="201"/>
      <c r="AF184" s="201"/>
      <c r="AG184" s="201"/>
      <c r="AH184" s="201"/>
      <c r="AI184" s="201"/>
      <c r="AJ184" s="201"/>
      <c r="AK184" s="201"/>
      <c r="AL184" s="201"/>
      <c r="AM184" s="201"/>
    </row>
    <row r="185" spans="1:39">
      <c r="A185" s="949"/>
      <c r="B185" s="640" t="b">
        <f>IF(AND(C189=C185,D189=D185),TRUE,FALSE)</f>
        <v>0</v>
      </c>
      <c r="C185" s="636" t="str">
        <f t="shared" ref="C185:D185" si="88">C166</f>
        <v>95% Elec Source</v>
      </c>
      <c r="D185" s="429" t="str">
        <f t="shared" si="88"/>
        <v>50% Median</v>
      </c>
      <c r="E185" s="429"/>
      <c r="F185" s="429">
        <f>Valuation!$C$9 * USD_2000/USD_BaseYear</f>
        <v>33.069339327731633</v>
      </c>
      <c r="G185" s="803">
        <v>76.221331898628662</v>
      </c>
      <c r="H185" s="803">
        <v>1989.6252867815867</v>
      </c>
      <c r="I185" s="803">
        <v>2143.7229625017158</v>
      </c>
      <c r="J185" s="803">
        <v>999.39130084783687</v>
      </c>
      <c r="K185" s="803">
        <v>7431.7420665015288</v>
      </c>
      <c r="L185" s="803">
        <v>5422.1767397399599</v>
      </c>
      <c r="M185" s="803">
        <v>729.51262544938584</v>
      </c>
      <c r="N185" s="578"/>
      <c r="O185" s="429"/>
      <c r="P185" s="429"/>
      <c r="Q185" s="429">
        <f>Valuation!$C$9 * USD_2000/USD_BaseYear</f>
        <v>33.069339327731633</v>
      </c>
      <c r="R185" s="803">
        <v>74.704859472243015</v>
      </c>
      <c r="S185" s="803">
        <v>3397.4105400134899</v>
      </c>
      <c r="T185" s="803">
        <v>2028.5280465109936</v>
      </c>
      <c r="U185" s="803">
        <v>979.50776807355953</v>
      </c>
      <c r="V185" s="803">
        <v>6623.532925566079</v>
      </c>
      <c r="W185" s="803">
        <v>5367.0953458905697</v>
      </c>
      <c r="X185" s="803">
        <v>655.01708119747627</v>
      </c>
      <c r="AA185" s="201"/>
      <c r="AB185" s="201"/>
      <c r="AC185" s="201"/>
      <c r="AD185" s="201"/>
      <c r="AE185" s="201"/>
      <c r="AF185" s="201"/>
      <c r="AG185" s="201"/>
      <c r="AH185" s="201"/>
      <c r="AI185" s="201"/>
      <c r="AJ185" s="201"/>
      <c r="AK185" s="201"/>
      <c r="AL185" s="201"/>
      <c r="AM185" s="201"/>
    </row>
    <row r="186" spans="1:39">
      <c r="A186" s="949"/>
      <c r="B186" s="640" t="b">
        <f>IF(AND(C189=C186,D189=D186),TRUE,FALSE)</f>
        <v>0</v>
      </c>
      <c r="C186" s="636" t="str">
        <f t="shared" ref="C186:D186" si="89">C167</f>
        <v>95% Elec Source</v>
      </c>
      <c r="D186" s="429" t="str">
        <f t="shared" si="89"/>
        <v>95% Worst</v>
      </c>
      <c r="E186" s="429"/>
      <c r="F186" s="429">
        <f>Valuation!$C$9 * USD_2000/USD_BaseYear</f>
        <v>33.069339327731633</v>
      </c>
      <c r="G186" s="803">
        <v>402.50687075297736</v>
      </c>
      <c r="H186" s="803">
        <v>43685.445995008704</v>
      </c>
      <c r="I186" s="803">
        <v>2311.5257078084132</v>
      </c>
      <c r="J186" s="803">
        <v>5277.5496720131096</v>
      </c>
      <c r="K186" s="803">
        <v>38327.948473694298</v>
      </c>
      <c r="L186" s="803">
        <v>13302.1196871988</v>
      </c>
      <c r="M186" s="803">
        <v>3673.9674448282772</v>
      </c>
      <c r="N186" s="578"/>
      <c r="O186" s="429"/>
      <c r="P186" s="429"/>
      <c r="Q186" s="429">
        <f>Valuation!$C$9 * USD_2000/USD_BaseYear</f>
        <v>33.069339327731633</v>
      </c>
      <c r="R186" s="803">
        <v>370.74979734519059</v>
      </c>
      <c r="S186" s="803">
        <v>12582.907854498821</v>
      </c>
      <c r="T186" s="803">
        <v>4307.2254243642255</v>
      </c>
      <c r="U186" s="803">
        <v>4861.1604262001638</v>
      </c>
      <c r="V186" s="803">
        <v>32730.786427359697</v>
      </c>
      <c r="W186" s="803">
        <v>13326.941533277379</v>
      </c>
      <c r="X186" s="803">
        <v>3313.9104847364615</v>
      </c>
      <c r="AA186" s="201"/>
      <c r="AB186" s="201"/>
      <c r="AC186" s="201"/>
      <c r="AD186" s="201"/>
      <c r="AE186" s="201"/>
      <c r="AF186" s="201"/>
      <c r="AG186" s="201"/>
      <c r="AH186" s="201"/>
      <c r="AI186" s="201"/>
      <c r="AJ186" s="201"/>
      <c r="AK186" s="201"/>
      <c r="AL186" s="201"/>
      <c r="AM186" s="201"/>
    </row>
    <row r="187" spans="1:39">
      <c r="A187" s="949"/>
      <c r="B187" s="640" t="b">
        <f>IF(AND(C189=C187,D189=D187),TRUE,FALSE)</f>
        <v>0</v>
      </c>
      <c r="C187" s="636" t="str">
        <f t="shared" ref="C187:D187" si="90">C168</f>
        <v>95% Elec Source</v>
      </c>
      <c r="D187" s="429" t="str">
        <f t="shared" si="90"/>
        <v>Avg 3100 US Counties</v>
      </c>
      <c r="E187" s="429"/>
      <c r="F187" s="429">
        <f>Valuation!$C$9 * USD_2000/USD_BaseYear</f>
        <v>33.069339327731633</v>
      </c>
      <c r="G187" s="803">
        <v>146.14002230235161</v>
      </c>
      <c r="H187" s="803">
        <v>12406.524904856851</v>
      </c>
      <c r="I187" s="803">
        <v>1592.3617962842493</v>
      </c>
      <c r="J187" s="803">
        <v>1916.144251965062</v>
      </c>
      <c r="K187" s="803">
        <v>12869.822540784791</v>
      </c>
      <c r="L187" s="803">
        <v>5650.8448567385039</v>
      </c>
      <c r="M187" s="803">
        <v>1251.5707625829191</v>
      </c>
      <c r="N187" s="578"/>
      <c r="O187" s="429"/>
      <c r="P187" s="429"/>
      <c r="Q187" s="429">
        <f>Valuation!$C$9 * USD_2000/USD_BaseYear</f>
        <v>33.069339327731633</v>
      </c>
      <c r="R187" s="803">
        <v>146.14002230235161</v>
      </c>
      <c r="S187" s="803">
        <v>12406.524904856851</v>
      </c>
      <c r="T187" s="803">
        <v>1592.3617962842493</v>
      </c>
      <c r="U187" s="803">
        <v>1916.144251965062</v>
      </c>
      <c r="V187" s="803">
        <v>12869.822540784791</v>
      </c>
      <c r="W187" s="803">
        <v>5650.8448567385039</v>
      </c>
      <c r="X187" s="803">
        <v>1251.5707625829191</v>
      </c>
      <c r="AA187" s="201"/>
      <c r="AB187" s="201"/>
      <c r="AC187" s="201"/>
      <c r="AD187" s="201"/>
      <c r="AE187" s="201"/>
      <c r="AF187" s="201"/>
      <c r="AG187" s="201"/>
      <c r="AH187" s="201"/>
      <c r="AI187" s="201"/>
      <c r="AJ187" s="201"/>
      <c r="AK187" s="201"/>
      <c r="AL187" s="201"/>
      <c r="AM187" s="201"/>
    </row>
    <row r="188" spans="1:39">
      <c r="A188" s="949"/>
      <c r="B188" s="640" t="b">
        <f>IF(AND(C189=C188,D189=D188),TRUE,FALSE)</f>
        <v>0</v>
      </c>
      <c r="C188" s="636" t="str">
        <f t="shared" ref="C188:D188" si="91">C169</f>
        <v>95% Elec Source</v>
      </c>
      <c r="D188" s="429" t="str">
        <f t="shared" si="91"/>
        <v>Wgt Avg Auto Manuf Counties</v>
      </c>
      <c r="E188" s="429"/>
      <c r="F188" s="429">
        <f>Valuation!$C$9 * USD_2000/USD_BaseYear</f>
        <v>33.069339327731633</v>
      </c>
      <c r="G188" s="803">
        <v>354.62629882054574</v>
      </c>
      <c r="H188" s="803">
        <v>37315.317677830753</v>
      </c>
      <c r="I188" s="803">
        <v>2041.9326029148592</v>
      </c>
      <c r="J188" s="803">
        <v>3774.7034722860535</v>
      </c>
      <c r="K188" s="803">
        <v>25330.941165080971</v>
      </c>
      <c r="L188" s="803">
        <v>10091.617676883025</v>
      </c>
      <c r="M188" s="803">
        <v>1902.0734009168641</v>
      </c>
      <c r="N188" s="578"/>
      <c r="O188" s="429"/>
      <c r="P188" s="429"/>
      <c r="Q188" s="429">
        <f>Valuation!$C$9 * USD_2000/USD_BaseYear</f>
        <v>33.069339327731633</v>
      </c>
      <c r="R188" s="803">
        <v>354.62629882054574</v>
      </c>
      <c r="S188" s="803">
        <v>37315.317677830753</v>
      </c>
      <c r="T188" s="803">
        <v>2041.9326029148592</v>
      </c>
      <c r="U188" s="803">
        <v>3774.7034722860535</v>
      </c>
      <c r="V188" s="803">
        <v>25330.941165080971</v>
      </c>
      <c r="W188" s="803">
        <v>10091.617676883025</v>
      </c>
      <c r="X188" s="803">
        <v>1902.0734009168641</v>
      </c>
      <c r="AA188" s="201"/>
      <c r="AB188" s="201"/>
      <c r="AC188" s="201"/>
      <c r="AD188" s="201"/>
      <c r="AE188" s="201"/>
      <c r="AF188" s="201"/>
      <c r="AG188" s="201"/>
      <c r="AH188" s="201"/>
      <c r="AI188" s="201"/>
      <c r="AJ188" s="201"/>
      <c r="AK188" s="201"/>
      <c r="AL188" s="201"/>
      <c r="AM188" s="201"/>
    </row>
    <row r="189" spans="1:39">
      <c r="A189" s="949"/>
      <c r="B189" s="640"/>
      <c r="C189" s="485" t="str">
        <f>SUMMARY!$B$15</f>
        <v>US Avg Elec</v>
      </c>
      <c r="D189" s="485" t="str">
        <f>D170</f>
        <v>Wgt Avg Auto Manuf Counties</v>
      </c>
      <c r="E189" s="485">
        <f t="array" ref="E189">SUM(IF($B174:$B188=TRUE,E174:E188))</f>
        <v>0</v>
      </c>
      <c r="F189" s="485">
        <f t="array" ref="F189">SUM(IF($B174:$B188=TRUE,F174:F188))</f>
        <v>33.069339327731633</v>
      </c>
      <c r="G189" s="485">
        <f t="array" ref="G189">SUM(IF($B174:$B188=TRUE,G174:G188))</f>
        <v>354.62629882054574</v>
      </c>
      <c r="H189" s="485">
        <f t="array" ref="H189">SUM(IF($B174:$B188=TRUE,H174:H188))</f>
        <v>37315.317677830753</v>
      </c>
      <c r="I189" s="485">
        <f t="array" ref="I189">SUM(IF($B174:$B188=TRUE,I174:I188))</f>
        <v>2041.9326029148592</v>
      </c>
      <c r="J189" s="485">
        <f t="array" ref="J189">SUM(IF($B174:$B188=TRUE,J174:J188))</f>
        <v>3774.7034722860535</v>
      </c>
      <c r="K189" s="485">
        <f t="array" ref="K189">SUM(IF($B174:$B188=TRUE,K174:K188))</f>
        <v>25330.941165080971</v>
      </c>
      <c r="L189" s="485">
        <f t="array" ref="L189">SUM(IF($B174:$B188=TRUE,L174:L188))</f>
        <v>10091.617676883025</v>
      </c>
      <c r="M189" s="485">
        <f t="array" ref="M189">SUM(IF($B174:$B188=TRUE,M174:M188))</f>
        <v>1902.0734009168641</v>
      </c>
      <c r="N189" s="579"/>
      <c r="O189" s="485"/>
      <c r="P189" s="485">
        <f t="array" ref="P189">SUM(IF($B174:$B188=TRUE,P174:P188))</f>
        <v>0</v>
      </c>
      <c r="Q189" s="485">
        <f t="array" ref="Q189">SUM(IF($B174:$B188=TRUE,Q174:Q188))</f>
        <v>33.069339327731633</v>
      </c>
      <c r="R189" s="485">
        <f t="array" ref="R189">SUM(IF($B174:$B188=TRUE,R174:R188))</f>
        <v>354.62629882054574</v>
      </c>
      <c r="S189" s="485">
        <f t="array" ref="S189">SUM(IF($B174:$B188=TRUE,S174:S188))</f>
        <v>37315.317677830753</v>
      </c>
      <c r="T189" s="485">
        <f t="array" ref="T189">SUM(IF($B174:$B188=TRUE,T174:T188))</f>
        <v>2041.9326029148592</v>
      </c>
      <c r="U189" s="485">
        <f t="array" ref="U189">SUM(IF($B174:$B188=TRUE,U174:U188))</f>
        <v>3774.7034722860535</v>
      </c>
      <c r="V189" s="485">
        <f t="array" ref="V189">SUM(IF($B174:$B188=TRUE,V174:V188))</f>
        <v>25330.941165080971</v>
      </c>
      <c r="W189" s="485">
        <f t="array" ref="W189">SUM(IF($B174:$B188=TRUE,W174:W188))</f>
        <v>10091.617676883025</v>
      </c>
      <c r="X189" s="485">
        <f t="array" ref="X189">SUM(IF($B174:$B188=TRUE,X174:X188))</f>
        <v>1902.0734009168641</v>
      </c>
    </row>
    <row r="190" spans="1:39">
      <c r="A190" s="949"/>
      <c r="B190" s="640"/>
      <c r="C190" s="632"/>
      <c r="N190" s="582"/>
      <c r="O190" s="201"/>
      <c r="P190" s="201"/>
      <c r="Q190" s="201"/>
      <c r="R190" s="201"/>
      <c r="S190" s="201"/>
      <c r="T190" s="201"/>
      <c r="U190" s="201"/>
      <c r="V190" s="201"/>
      <c r="W190" s="201"/>
      <c r="X190" s="201"/>
    </row>
    <row r="191" spans="1:39">
      <c r="A191" s="949"/>
      <c r="B191" s="640"/>
      <c r="C191" s="632"/>
      <c r="D191" s="481" t="s">
        <v>450</v>
      </c>
      <c r="E191" s="201"/>
      <c r="F191" s="201"/>
      <c r="G191" s="201"/>
      <c r="H191" s="201"/>
      <c r="I191" s="201"/>
      <c r="J191" s="201"/>
      <c r="K191" s="201"/>
      <c r="L191" s="201"/>
      <c r="M191" s="201"/>
      <c r="N191" s="580"/>
      <c r="O191" s="481" t="s">
        <v>445</v>
      </c>
      <c r="P191" s="201"/>
      <c r="Q191" s="201"/>
      <c r="R191" s="201"/>
      <c r="S191" s="201"/>
      <c r="T191" s="201"/>
      <c r="U191" s="201"/>
      <c r="V191" s="201"/>
      <c r="W191" s="201"/>
      <c r="X191" s="201"/>
    </row>
    <row r="192" spans="1:39" ht="15.75" thickBot="1">
      <c r="A192" s="949"/>
      <c r="B192" s="640"/>
      <c r="C192" s="637"/>
      <c r="D192" s="482"/>
      <c r="E192" s="482" t="s">
        <v>1</v>
      </c>
      <c r="F192" s="482" t="s">
        <v>15</v>
      </c>
      <c r="G192" s="483" t="s">
        <v>2</v>
      </c>
      <c r="H192" s="483" t="s">
        <v>43</v>
      </c>
      <c r="I192" s="483" t="s">
        <v>25</v>
      </c>
      <c r="J192" s="483" t="s">
        <v>26</v>
      </c>
      <c r="K192" s="483" t="s">
        <v>27</v>
      </c>
      <c r="L192" s="483" t="s">
        <v>39</v>
      </c>
      <c r="M192" s="483" t="s">
        <v>3</v>
      </c>
      <c r="N192" s="581"/>
      <c r="O192" s="482"/>
      <c r="P192" s="482" t="s">
        <v>1</v>
      </c>
      <c r="Q192" s="482" t="s">
        <v>15</v>
      </c>
      <c r="R192" s="483" t="s">
        <v>2</v>
      </c>
      <c r="S192" s="483" t="s">
        <v>43</v>
      </c>
      <c r="T192" s="483" t="s">
        <v>25</v>
      </c>
      <c r="U192" s="483" t="s">
        <v>26</v>
      </c>
      <c r="V192" s="483" t="s">
        <v>27</v>
      </c>
      <c r="W192" s="483" t="s">
        <v>39</v>
      </c>
      <c r="X192" s="483" t="s">
        <v>3</v>
      </c>
      <c r="AA192" s="201"/>
      <c r="AB192" s="201"/>
      <c r="AC192" s="201"/>
      <c r="AD192" s="201"/>
      <c r="AE192" s="201"/>
      <c r="AF192" s="201"/>
      <c r="AG192" s="201"/>
      <c r="AH192" s="201"/>
      <c r="AI192" s="201"/>
      <c r="AJ192" s="201"/>
      <c r="AK192" s="201"/>
      <c r="AL192" s="201"/>
      <c r="AM192" s="201"/>
    </row>
    <row r="193" spans="1:39" ht="15.75" thickTop="1">
      <c r="A193" s="949"/>
      <c r="B193" s="640" t="b">
        <f>IF(AND(C208=C193,D208=D193),TRUE,FALSE)</f>
        <v>0</v>
      </c>
      <c r="C193" s="636" t="str">
        <f>C174</f>
        <v>US Avg Elec</v>
      </c>
      <c r="D193" s="429" t="str">
        <f>D174</f>
        <v>5% Best</v>
      </c>
      <c r="E193" s="429"/>
      <c r="F193" s="429">
        <f>Valuation!$C$9 * USD_2000/USD_BaseYear</f>
        <v>33.069339327731633</v>
      </c>
      <c r="G193" s="803">
        <v>63.085804320737203</v>
      </c>
      <c r="H193" s="803">
        <v>696.23525575433985</v>
      </c>
      <c r="I193" s="803">
        <v>769.38872496321142</v>
      </c>
      <c r="J193" s="803">
        <v>827.16219298009855</v>
      </c>
      <c r="K193" s="803">
        <v>3080.0165329686397</v>
      </c>
      <c r="L193" s="803">
        <v>1867.6251086181098</v>
      </c>
      <c r="M193" s="803">
        <v>298.85629334179839</v>
      </c>
      <c r="N193" s="578"/>
      <c r="O193" s="429"/>
      <c r="P193" s="429"/>
      <c r="Q193" s="429">
        <f>Valuation!$C$9 * USD_2000/USD_BaseYear</f>
        <v>33.069339327731633</v>
      </c>
      <c r="R193" s="803">
        <v>50.621052885998395</v>
      </c>
      <c r="S193" s="803">
        <v>901.94605711052691</v>
      </c>
      <c r="T193" s="803">
        <v>1501.6685772928629</v>
      </c>
      <c r="U193" s="803">
        <v>663.72810122641351</v>
      </c>
      <c r="V193" s="803">
        <v>4214.7324885487096</v>
      </c>
      <c r="W193" s="803">
        <v>1555.2851989296103</v>
      </c>
      <c r="X193" s="803">
        <v>422.31672644616992</v>
      </c>
      <c r="AA193" s="201"/>
      <c r="AB193" s="201"/>
      <c r="AC193" s="201"/>
      <c r="AD193" s="201"/>
      <c r="AE193" s="201"/>
      <c r="AF193" s="201"/>
      <c r="AG193" s="201"/>
      <c r="AH193" s="201"/>
      <c r="AI193" s="201"/>
      <c r="AJ193" s="201"/>
      <c r="AK193" s="201"/>
      <c r="AL193" s="201"/>
      <c r="AM193" s="201"/>
    </row>
    <row r="194" spans="1:39">
      <c r="A194" s="949"/>
      <c r="B194" s="640" t="b">
        <f>IF(AND(C208=C194,D208=D194),TRUE,FALSE)</f>
        <v>0</v>
      </c>
      <c r="C194" s="636" t="str">
        <f t="shared" ref="C194:D194" si="92">C175</f>
        <v>US Avg Elec</v>
      </c>
      <c r="D194" s="429" t="str">
        <f t="shared" si="92"/>
        <v>50% Median</v>
      </c>
      <c r="E194" s="429"/>
      <c r="F194" s="429">
        <f>Valuation!$C$9 * USD_2000/USD_BaseYear</f>
        <v>33.069339327731633</v>
      </c>
      <c r="G194" s="803">
        <v>77.577104170284215</v>
      </c>
      <c r="H194" s="803">
        <v>3246.0444578582201</v>
      </c>
      <c r="I194" s="803">
        <v>2598.1638183457867</v>
      </c>
      <c r="J194" s="803">
        <v>1017.1677812696862</v>
      </c>
      <c r="K194" s="803">
        <v>6769.9386068263493</v>
      </c>
      <c r="L194" s="803">
        <v>5390.9647949973105</v>
      </c>
      <c r="M194" s="803">
        <v>731.47840145935754</v>
      </c>
      <c r="N194" s="578"/>
      <c r="O194" s="429"/>
      <c r="P194" s="429"/>
      <c r="Q194" s="429">
        <f>Valuation!$C$9 * USD_2000/USD_BaseYear</f>
        <v>33.069339327731633</v>
      </c>
      <c r="R194" s="803">
        <v>67.528876833857126</v>
      </c>
      <c r="S194" s="803">
        <v>2729.7449887917296</v>
      </c>
      <c r="T194" s="803">
        <v>1748.2201416549728</v>
      </c>
      <c r="U194" s="803">
        <v>885.41843054563606</v>
      </c>
      <c r="V194" s="803">
        <v>6136.2143231507998</v>
      </c>
      <c r="W194" s="803">
        <v>5475.4679800219101</v>
      </c>
      <c r="X194" s="803">
        <v>602.6081209672484</v>
      </c>
      <c r="AA194" s="201"/>
      <c r="AB194" s="201"/>
      <c r="AC194" s="201"/>
      <c r="AD194" s="201"/>
      <c r="AE194" s="201"/>
      <c r="AF194" s="201"/>
      <c r="AG194" s="201"/>
      <c r="AH194" s="201"/>
      <c r="AI194" s="201"/>
      <c r="AJ194" s="201"/>
      <c r="AK194" s="201"/>
      <c r="AL194" s="201"/>
      <c r="AM194" s="201"/>
    </row>
    <row r="195" spans="1:39">
      <c r="A195" s="949"/>
      <c r="B195" s="640" t="b">
        <f>IF(AND(C208=C195,D208=D195),TRUE,FALSE)</f>
        <v>0</v>
      </c>
      <c r="C195" s="636" t="str">
        <f t="shared" ref="C195:D195" si="93">C176</f>
        <v>US Avg Elec</v>
      </c>
      <c r="D195" s="429" t="str">
        <f t="shared" si="93"/>
        <v>95% Worst</v>
      </c>
      <c r="E195" s="429"/>
      <c r="F195" s="429">
        <f>Valuation!$C$9 * USD_2000/USD_BaseYear</f>
        <v>33.069339327731633</v>
      </c>
      <c r="G195" s="803">
        <v>402.50687075297736</v>
      </c>
      <c r="H195" s="803">
        <v>43685.445995008704</v>
      </c>
      <c r="I195" s="803">
        <v>2311.5257078084132</v>
      </c>
      <c r="J195" s="803">
        <v>5277.5496720131096</v>
      </c>
      <c r="K195" s="803">
        <v>38327.948473694298</v>
      </c>
      <c r="L195" s="803">
        <v>13302.1196871988</v>
      </c>
      <c r="M195" s="803">
        <v>3673.9674448282772</v>
      </c>
      <c r="N195" s="578"/>
      <c r="O195" s="429"/>
      <c r="P195" s="429"/>
      <c r="Q195" s="429">
        <f>Valuation!$C$9 * USD_2000/USD_BaseYear</f>
        <v>33.069339327731633</v>
      </c>
      <c r="R195" s="803">
        <v>624.47281926520202</v>
      </c>
      <c r="S195" s="803">
        <v>86796.984629579005</v>
      </c>
      <c r="T195" s="803">
        <v>924.92837379115815</v>
      </c>
      <c r="U195" s="803">
        <v>8187.9007837279032</v>
      </c>
      <c r="V195" s="803">
        <v>43535.840304015495</v>
      </c>
      <c r="W195" s="803">
        <v>13173.082022938888</v>
      </c>
      <c r="X195" s="803">
        <v>4125.8739162226366</v>
      </c>
      <c r="AA195" s="201"/>
      <c r="AB195" s="201"/>
      <c r="AC195" s="201"/>
      <c r="AD195" s="201"/>
      <c r="AE195" s="201"/>
      <c r="AF195" s="201"/>
      <c r="AG195" s="201"/>
      <c r="AH195" s="201"/>
      <c r="AI195" s="201"/>
      <c r="AJ195" s="201"/>
      <c r="AK195" s="201"/>
      <c r="AL195" s="201"/>
      <c r="AM195" s="201"/>
    </row>
    <row r="196" spans="1:39">
      <c r="A196" s="949"/>
      <c r="B196" s="640" t="b">
        <f>IF(AND(C208=C196,D208=D196),TRUE,FALSE)</f>
        <v>0</v>
      </c>
      <c r="C196" s="636" t="str">
        <f t="shared" ref="C196:D196" si="94">C177</f>
        <v>US Avg Elec</v>
      </c>
      <c r="D196" s="429" t="str">
        <f t="shared" si="94"/>
        <v>Avg 3100 US Counties</v>
      </c>
      <c r="E196" s="429"/>
      <c r="F196" s="429">
        <f>Valuation!$C$9 * USD_2000/USD_BaseYear</f>
        <v>33.069339327731633</v>
      </c>
      <c r="G196" s="803">
        <v>146.14002230235161</v>
      </c>
      <c r="H196" s="803">
        <v>12406.524904856851</v>
      </c>
      <c r="I196" s="803">
        <v>1592.3617962842493</v>
      </c>
      <c r="J196" s="803">
        <v>1916.144251965062</v>
      </c>
      <c r="K196" s="803">
        <v>12869.822540784791</v>
      </c>
      <c r="L196" s="803">
        <v>5650.8448567385039</v>
      </c>
      <c r="M196" s="803">
        <v>1251.5707625829191</v>
      </c>
      <c r="N196" s="578"/>
      <c r="O196" s="429"/>
      <c r="P196" s="429"/>
      <c r="Q196" s="429">
        <f>Valuation!$C$9 * USD_2000/USD_BaseYear</f>
        <v>33.069339327731633</v>
      </c>
      <c r="R196" s="803">
        <v>146.14002230235161</v>
      </c>
      <c r="S196" s="803">
        <v>12406.524904856851</v>
      </c>
      <c r="T196" s="803">
        <v>1592.3617962842493</v>
      </c>
      <c r="U196" s="803">
        <v>1916.144251965062</v>
      </c>
      <c r="V196" s="803">
        <v>12869.822540784791</v>
      </c>
      <c r="W196" s="803">
        <v>5650.8448567385039</v>
      </c>
      <c r="X196" s="803">
        <v>1251.5707625829191</v>
      </c>
      <c r="AA196" s="201"/>
      <c r="AB196" s="201"/>
      <c r="AC196" s="201"/>
      <c r="AD196" s="201"/>
      <c r="AE196" s="201"/>
      <c r="AF196" s="201"/>
      <c r="AG196" s="201"/>
      <c r="AH196" s="201"/>
      <c r="AI196" s="201"/>
      <c r="AJ196" s="201"/>
      <c r="AK196" s="201"/>
      <c r="AL196" s="201"/>
      <c r="AM196" s="201"/>
    </row>
    <row r="197" spans="1:39">
      <c r="A197" s="949"/>
      <c r="B197" s="640" t="b">
        <f>IF(AND(C208=C197,D208=D197),TRUE,FALSE)</f>
        <v>1</v>
      </c>
      <c r="C197" s="636" t="str">
        <f t="shared" ref="C197:D197" si="95">C178</f>
        <v>US Avg Elec</v>
      </c>
      <c r="D197" s="429" t="str">
        <f t="shared" si="95"/>
        <v>Wgt Avg Auto Manuf Counties</v>
      </c>
      <c r="E197" s="429"/>
      <c r="F197" s="429">
        <f>Valuation!$C$9 * USD_2000/USD_BaseYear</f>
        <v>33.069339327731633</v>
      </c>
      <c r="G197" s="803">
        <v>354.62629882054574</v>
      </c>
      <c r="H197" s="803">
        <v>37315.317677830753</v>
      </c>
      <c r="I197" s="803">
        <v>2041.9326029148592</v>
      </c>
      <c r="J197" s="803">
        <v>3774.7034722860535</v>
      </c>
      <c r="K197" s="803">
        <v>25330.941165080971</v>
      </c>
      <c r="L197" s="803">
        <v>10091.617676883025</v>
      </c>
      <c r="M197" s="803">
        <v>1902.0734009168641</v>
      </c>
      <c r="N197" s="578"/>
      <c r="O197" s="429"/>
      <c r="P197" s="429"/>
      <c r="Q197" s="429">
        <f>Valuation!$C$9 * USD_2000/USD_BaseYear</f>
        <v>33.069339327731633</v>
      </c>
      <c r="R197" s="803">
        <v>354.62629882054574</v>
      </c>
      <c r="S197" s="803">
        <v>37315.317677830753</v>
      </c>
      <c r="T197" s="803">
        <v>2041.9326029148592</v>
      </c>
      <c r="U197" s="803">
        <v>3774.7034722860535</v>
      </c>
      <c r="V197" s="803">
        <v>25330.941165080971</v>
      </c>
      <c r="W197" s="803">
        <v>10091.617676883025</v>
      </c>
      <c r="X197" s="803">
        <v>1902.0734009168641</v>
      </c>
      <c r="AA197" s="201"/>
      <c r="AB197" s="201"/>
      <c r="AC197" s="201"/>
      <c r="AD197" s="201"/>
      <c r="AE197" s="201"/>
      <c r="AF197" s="201"/>
      <c r="AG197" s="201"/>
      <c r="AH197" s="201"/>
      <c r="AI197" s="201"/>
      <c r="AJ197" s="201"/>
      <c r="AK197" s="201"/>
      <c r="AL197" s="201"/>
      <c r="AM197" s="201"/>
    </row>
    <row r="198" spans="1:39">
      <c r="A198" s="949"/>
      <c r="B198" s="640" t="b">
        <f>IF(AND(C208=C198,D208=D198),TRUE,FALSE)</f>
        <v>0</v>
      </c>
      <c r="C198" s="636" t="str">
        <f t="shared" ref="C198:D198" si="96">C179</f>
        <v>5% Elec Source</v>
      </c>
      <c r="D198" s="429" t="str">
        <f t="shared" si="96"/>
        <v>5% Best</v>
      </c>
      <c r="E198" s="429"/>
      <c r="F198" s="429">
        <f>Valuation!$C$9 * USD_2000/USD_BaseYear</f>
        <v>33.069339327731633</v>
      </c>
      <c r="G198" s="803">
        <v>43.859298769567957</v>
      </c>
      <c r="H198" s="803">
        <v>859.02679463775985</v>
      </c>
      <c r="I198" s="803">
        <v>1407.5536102262856</v>
      </c>
      <c r="J198" s="803">
        <v>575.07000415432333</v>
      </c>
      <c r="K198" s="803">
        <v>3563.2312303767899</v>
      </c>
      <c r="L198" s="803">
        <v>1421.68286353499</v>
      </c>
      <c r="M198" s="803">
        <v>358.04090215143833</v>
      </c>
      <c r="N198" s="578"/>
      <c r="O198" s="429"/>
      <c r="P198" s="429"/>
      <c r="Q198" s="429">
        <f>Valuation!$C$9 * USD_2000/USD_BaseYear</f>
        <v>33.069339327731633</v>
      </c>
      <c r="R198" s="803">
        <v>47.319862113935955</v>
      </c>
      <c r="S198" s="803">
        <v>1049.5014490671269</v>
      </c>
      <c r="T198" s="803">
        <v>1137.035210860131</v>
      </c>
      <c r="U198" s="803">
        <v>620.44387543479218</v>
      </c>
      <c r="V198" s="803">
        <v>2942.3147018121299</v>
      </c>
      <c r="W198" s="803">
        <v>1719.8139804375896</v>
      </c>
      <c r="X198" s="803">
        <v>291.68112084656718</v>
      </c>
      <c r="AA198" s="201"/>
      <c r="AB198" s="201"/>
      <c r="AC198" s="201"/>
      <c r="AD198" s="201"/>
      <c r="AE198" s="201"/>
      <c r="AF198" s="201"/>
      <c r="AG198" s="201"/>
      <c r="AH198" s="201"/>
      <c r="AI198" s="201"/>
      <c r="AJ198" s="201"/>
      <c r="AK198" s="201"/>
      <c r="AL198" s="201"/>
      <c r="AM198" s="201"/>
    </row>
    <row r="199" spans="1:39">
      <c r="A199" s="949"/>
      <c r="B199" s="640" t="b">
        <f>IF(AND(C208=C199,D208=D199),TRUE,FALSE)</f>
        <v>0</v>
      </c>
      <c r="C199" s="636" t="str">
        <f t="shared" ref="C199:D199" si="97">C180</f>
        <v>5% Elec Source</v>
      </c>
      <c r="D199" s="429" t="str">
        <f t="shared" si="97"/>
        <v>50% Median</v>
      </c>
      <c r="E199" s="429"/>
      <c r="F199" s="429">
        <f>Valuation!$C$9 * USD_2000/USD_BaseYear</f>
        <v>33.069339327731633</v>
      </c>
      <c r="G199" s="803">
        <v>76.051676059113632</v>
      </c>
      <c r="H199" s="803">
        <v>2626.47826064831</v>
      </c>
      <c r="I199" s="803">
        <v>1764.1165884888412</v>
      </c>
      <c r="J199" s="803">
        <v>997.16682423576628</v>
      </c>
      <c r="K199" s="803">
        <v>7510.751331957089</v>
      </c>
      <c r="L199" s="803">
        <v>5585.0178826323299</v>
      </c>
      <c r="M199" s="803">
        <v>757.61590899736541</v>
      </c>
      <c r="N199" s="578"/>
      <c r="O199" s="429"/>
      <c r="P199" s="429"/>
      <c r="Q199" s="429">
        <f>Valuation!$C$9 * USD_2000/USD_BaseYear</f>
        <v>33.069339327731633</v>
      </c>
      <c r="R199" s="803">
        <v>80.102748550426682</v>
      </c>
      <c r="S199" s="803">
        <v>2469.2627635265249</v>
      </c>
      <c r="T199" s="803">
        <v>2288.4087956098974</v>
      </c>
      <c r="U199" s="803">
        <v>1050.2832747893556</v>
      </c>
      <c r="V199" s="803">
        <v>7291.4531107004495</v>
      </c>
      <c r="W199" s="803">
        <v>5334.6984164896694</v>
      </c>
      <c r="X199" s="803">
        <v>728.52316546436975</v>
      </c>
      <c r="AA199" s="201"/>
      <c r="AB199" s="201"/>
      <c r="AC199" s="201"/>
      <c r="AD199" s="201"/>
      <c r="AE199" s="201"/>
      <c r="AF199" s="201"/>
      <c r="AG199" s="201"/>
      <c r="AH199" s="201"/>
      <c r="AI199" s="201"/>
      <c r="AJ199" s="201"/>
      <c r="AK199" s="201"/>
      <c r="AL199" s="201"/>
      <c r="AM199" s="201"/>
    </row>
    <row r="200" spans="1:39">
      <c r="A200" s="949"/>
      <c r="B200" s="640" t="b">
        <f>IF(AND(C208=C200,D208=D200),TRUE,FALSE)</f>
        <v>0</v>
      </c>
      <c r="C200" s="636" t="str">
        <f t="shared" ref="C200:D200" si="98">C181</f>
        <v>5% Elec Source</v>
      </c>
      <c r="D200" s="429" t="str">
        <f t="shared" si="98"/>
        <v>95% Worst</v>
      </c>
      <c r="E200" s="429"/>
      <c r="F200" s="429">
        <f>Valuation!$C$9 * USD_2000/USD_BaseYear</f>
        <v>33.069339327731633</v>
      </c>
      <c r="G200" s="803">
        <v>509.23542843304386</v>
      </c>
      <c r="H200" s="803">
        <v>130735.6094862685</v>
      </c>
      <c r="I200" s="803">
        <v>4086.9784988786341</v>
      </c>
      <c r="J200" s="803">
        <v>6676.942590512007</v>
      </c>
      <c r="K200" s="803">
        <v>44423.994572708703</v>
      </c>
      <c r="L200" s="803">
        <v>10353.984781669868</v>
      </c>
      <c r="M200" s="803">
        <v>4364.5361800063456</v>
      </c>
      <c r="N200" s="578"/>
      <c r="O200" s="429"/>
      <c r="P200" s="429"/>
      <c r="Q200" s="429">
        <f>Valuation!$C$9 * USD_2000/USD_BaseYear</f>
        <v>33.069339327731633</v>
      </c>
      <c r="R200" s="803">
        <v>624.47281926520202</v>
      </c>
      <c r="S200" s="803">
        <v>86796.984629579005</v>
      </c>
      <c r="T200" s="803">
        <v>924.92837379115815</v>
      </c>
      <c r="U200" s="803">
        <v>8187.9007837279032</v>
      </c>
      <c r="V200" s="803">
        <v>43535.840304015495</v>
      </c>
      <c r="W200" s="803">
        <v>13173.082022938888</v>
      </c>
      <c r="X200" s="803">
        <v>4125.8739162226366</v>
      </c>
      <c r="AA200" s="201"/>
      <c r="AB200" s="201"/>
      <c r="AC200" s="201"/>
      <c r="AD200" s="201"/>
      <c r="AE200" s="201"/>
      <c r="AF200" s="201"/>
      <c r="AG200" s="201"/>
      <c r="AH200" s="201"/>
      <c r="AI200" s="201"/>
      <c r="AJ200" s="201"/>
      <c r="AK200" s="201"/>
      <c r="AL200" s="201"/>
      <c r="AM200" s="201"/>
    </row>
    <row r="201" spans="1:39">
      <c r="A201" s="949"/>
      <c r="B201" s="640" t="b">
        <f>IF(AND(C208=C201,D208=D201),TRUE,FALSE)</f>
        <v>0</v>
      </c>
      <c r="C201" s="636" t="str">
        <f t="shared" ref="C201:D201" si="99">C182</f>
        <v>5% Elec Source</v>
      </c>
      <c r="D201" s="429" t="str">
        <f t="shared" si="99"/>
        <v>Avg 3100 US Counties</v>
      </c>
      <c r="E201" s="429"/>
      <c r="F201" s="429">
        <f>Valuation!$C$9 * USD_2000/USD_BaseYear</f>
        <v>33.069339327731633</v>
      </c>
      <c r="G201" s="803">
        <v>146.14002230235161</v>
      </c>
      <c r="H201" s="803">
        <v>12406.524904856851</v>
      </c>
      <c r="I201" s="803">
        <v>1592.3617962842493</v>
      </c>
      <c r="J201" s="803">
        <v>1916.144251965062</v>
      </c>
      <c r="K201" s="803">
        <v>12869.822540784791</v>
      </c>
      <c r="L201" s="803">
        <v>5650.8448567385039</v>
      </c>
      <c r="M201" s="803">
        <v>1251.5707625829191</v>
      </c>
      <c r="N201" s="578"/>
      <c r="O201" s="429"/>
      <c r="P201" s="429"/>
      <c r="Q201" s="429">
        <f>Valuation!$C$9 * USD_2000/USD_BaseYear</f>
        <v>33.069339327731633</v>
      </c>
      <c r="R201" s="803">
        <v>146.14002230235161</v>
      </c>
      <c r="S201" s="803">
        <v>12406.524904856851</v>
      </c>
      <c r="T201" s="803">
        <v>1592.3617962842493</v>
      </c>
      <c r="U201" s="803">
        <v>1916.144251965062</v>
      </c>
      <c r="V201" s="803">
        <v>12869.822540784791</v>
      </c>
      <c r="W201" s="803">
        <v>5650.8448567385039</v>
      </c>
      <c r="X201" s="803">
        <v>1251.5707625829191</v>
      </c>
      <c r="AA201" s="201"/>
      <c r="AB201" s="201"/>
      <c r="AC201" s="201"/>
      <c r="AD201" s="201"/>
      <c r="AE201" s="201"/>
      <c r="AF201" s="201"/>
      <c r="AG201" s="201"/>
      <c r="AH201" s="201"/>
      <c r="AI201" s="201"/>
      <c r="AJ201" s="201"/>
      <c r="AK201" s="201"/>
      <c r="AL201" s="201"/>
      <c r="AM201" s="201"/>
    </row>
    <row r="202" spans="1:39">
      <c r="A202" s="949"/>
      <c r="B202" s="640" t="b">
        <f>IF(AND(C208=C202,D208=D202),TRUE,FALSE)</f>
        <v>0</v>
      </c>
      <c r="C202" s="636" t="str">
        <f t="shared" ref="C202:D202" si="100">C183</f>
        <v>5% Elec Source</v>
      </c>
      <c r="D202" s="429" t="str">
        <f t="shared" si="100"/>
        <v>Wgt Avg Auto Manuf Counties</v>
      </c>
      <c r="E202" s="429"/>
      <c r="F202" s="429">
        <f>Valuation!$C$9 * USD_2000/USD_BaseYear</f>
        <v>33.069339327731633</v>
      </c>
      <c r="G202" s="803">
        <v>354.62629882054574</v>
      </c>
      <c r="H202" s="803">
        <v>37315.317677830753</v>
      </c>
      <c r="I202" s="803">
        <v>2041.9326029148592</v>
      </c>
      <c r="J202" s="803">
        <v>3774.7034722860535</v>
      </c>
      <c r="K202" s="803">
        <v>25330.941165080971</v>
      </c>
      <c r="L202" s="803">
        <v>10091.617676883025</v>
      </c>
      <c r="M202" s="803">
        <v>1902.0734009168641</v>
      </c>
      <c r="N202" s="578"/>
      <c r="O202" s="429"/>
      <c r="P202" s="429"/>
      <c r="Q202" s="429">
        <f>Valuation!$C$9 * USD_2000/USD_BaseYear</f>
        <v>33.069339327731633</v>
      </c>
      <c r="R202" s="803">
        <v>354.62629882054574</v>
      </c>
      <c r="S202" s="803">
        <v>37315.317677830753</v>
      </c>
      <c r="T202" s="803">
        <v>2041.9326029148592</v>
      </c>
      <c r="U202" s="803">
        <v>3774.7034722860535</v>
      </c>
      <c r="V202" s="803">
        <v>25330.941165080971</v>
      </c>
      <c r="W202" s="803">
        <v>10091.617676883025</v>
      </c>
      <c r="X202" s="803">
        <v>1902.0734009168641</v>
      </c>
      <c r="AA202" s="201"/>
      <c r="AB202" s="201"/>
      <c r="AC202" s="201"/>
      <c r="AD202" s="201"/>
      <c r="AE202" s="201"/>
      <c r="AF202" s="201"/>
      <c r="AG202" s="201"/>
      <c r="AH202" s="201"/>
      <c r="AI202" s="201"/>
      <c r="AJ202" s="201"/>
      <c r="AK202" s="201"/>
      <c r="AL202" s="201"/>
      <c r="AM202" s="201"/>
    </row>
    <row r="203" spans="1:39">
      <c r="A203" s="949"/>
      <c r="B203" s="640" t="b">
        <f>IF(AND(C208=C203,D208=D203),TRUE,FALSE)</f>
        <v>0</v>
      </c>
      <c r="C203" s="636" t="str">
        <f t="shared" ref="C203:D203" si="101">C184</f>
        <v>95% Elec Source</v>
      </c>
      <c r="D203" s="429" t="str">
        <f t="shared" si="101"/>
        <v>5% Best</v>
      </c>
      <c r="E203" s="429"/>
      <c r="F203" s="429">
        <f>Valuation!$C$9 * USD_2000/USD_BaseYear</f>
        <v>33.069339327731633</v>
      </c>
      <c r="G203" s="803">
        <v>60.384521593015265</v>
      </c>
      <c r="H203" s="803">
        <v>818.46471467029698</v>
      </c>
      <c r="I203" s="803">
        <v>1222.191334556851</v>
      </c>
      <c r="J203" s="803">
        <v>791.74378199239459</v>
      </c>
      <c r="K203" s="803">
        <v>3066.5308564020997</v>
      </c>
      <c r="L203" s="803">
        <v>1674.4108798899997</v>
      </c>
      <c r="M203" s="803">
        <v>310.76885702859209</v>
      </c>
      <c r="N203" s="578"/>
      <c r="O203" s="429"/>
      <c r="P203" s="429"/>
      <c r="Q203" s="429">
        <f>Valuation!$C$9 * USD_2000/USD_BaseYear</f>
        <v>33.069339327731633</v>
      </c>
      <c r="R203" s="803">
        <v>51.90677467366497</v>
      </c>
      <c r="S203" s="803">
        <v>768.12910170384998</v>
      </c>
      <c r="T203" s="803">
        <v>1198.5105680770437</v>
      </c>
      <c r="U203" s="803">
        <v>680.58610065908454</v>
      </c>
      <c r="V203" s="803">
        <v>2957.17165364831</v>
      </c>
      <c r="W203" s="803">
        <v>1713.87913634455</v>
      </c>
      <c r="X203" s="803">
        <v>293.78627530319801</v>
      </c>
      <c r="AA203" s="201"/>
      <c r="AB203" s="201"/>
      <c r="AC203" s="201"/>
      <c r="AD203" s="201"/>
      <c r="AE203" s="201"/>
      <c r="AF203" s="201"/>
      <c r="AG203" s="201"/>
      <c r="AH203" s="201"/>
      <c r="AI203" s="201"/>
      <c r="AJ203" s="201"/>
      <c r="AK203" s="201"/>
      <c r="AL203" s="201"/>
      <c r="AM203" s="201"/>
    </row>
    <row r="204" spans="1:39">
      <c r="A204" s="949"/>
      <c r="B204" s="640" t="b">
        <f>IF(AND(C208=C204,D208=D204),TRUE,FALSE)</f>
        <v>0</v>
      </c>
      <c r="C204" s="636" t="str">
        <f t="shared" ref="C204:D204" si="102">C185</f>
        <v>95% Elec Source</v>
      </c>
      <c r="D204" s="429" t="str">
        <f t="shared" si="102"/>
        <v>50% Median</v>
      </c>
      <c r="E204" s="429"/>
      <c r="F204" s="429">
        <f>Valuation!$C$9 * USD_2000/USD_BaseYear</f>
        <v>33.069339327731633</v>
      </c>
      <c r="G204" s="803">
        <v>76.221331898628662</v>
      </c>
      <c r="H204" s="803">
        <v>1989.6252867815867</v>
      </c>
      <c r="I204" s="803">
        <v>2143.7229625017158</v>
      </c>
      <c r="J204" s="803">
        <v>999.39130084783687</v>
      </c>
      <c r="K204" s="803">
        <v>7431.7420665015288</v>
      </c>
      <c r="L204" s="803">
        <v>5422.1767397399599</v>
      </c>
      <c r="M204" s="803">
        <v>729.51262544938584</v>
      </c>
      <c r="N204" s="578"/>
      <c r="O204" s="429"/>
      <c r="P204" s="429"/>
      <c r="Q204" s="429">
        <f>Valuation!$C$9 * USD_2000/USD_BaseYear</f>
        <v>33.069339327731633</v>
      </c>
      <c r="R204" s="803">
        <v>222.13604053940043</v>
      </c>
      <c r="S204" s="803">
        <v>1553.6907056196949</v>
      </c>
      <c r="T204" s="803">
        <v>5238.2697112111391</v>
      </c>
      <c r="U204" s="803">
        <v>2912.5813074889775</v>
      </c>
      <c r="V204" s="803">
        <v>21586.387116231708</v>
      </c>
      <c r="W204" s="803">
        <v>3336.0095954238695</v>
      </c>
      <c r="X204" s="803">
        <v>2068.4170739318629</v>
      </c>
      <c r="AA204" s="201"/>
      <c r="AB204" s="201"/>
      <c r="AC204" s="201"/>
      <c r="AD204" s="201"/>
      <c r="AE204" s="201"/>
      <c r="AF204" s="201"/>
      <c r="AG204" s="201"/>
      <c r="AH204" s="201"/>
      <c r="AI204" s="201"/>
      <c r="AJ204" s="201"/>
      <c r="AK204" s="201"/>
      <c r="AL204" s="201"/>
      <c r="AM204" s="201"/>
    </row>
    <row r="205" spans="1:39">
      <c r="A205" s="949"/>
      <c r="B205" s="640" t="b">
        <f>IF(AND(C208=C205,D208=D205),TRUE,FALSE)</f>
        <v>0</v>
      </c>
      <c r="C205" s="636" t="str">
        <f t="shared" ref="C205:D205" si="103">C186</f>
        <v>95% Elec Source</v>
      </c>
      <c r="D205" s="429" t="str">
        <f t="shared" si="103"/>
        <v>95% Worst</v>
      </c>
      <c r="E205" s="429"/>
      <c r="F205" s="429">
        <f>Valuation!$C$9 * USD_2000/USD_BaseYear</f>
        <v>33.069339327731633</v>
      </c>
      <c r="G205" s="803">
        <v>402.50687075297736</v>
      </c>
      <c r="H205" s="803">
        <v>43685.445995008704</v>
      </c>
      <c r="I205" s="803">
        <v>2311.5257078084132</v>
      </c>
      <c r="J205" s="803">
        <v>5277.5496720131096</v>
      </c>
      <c r="K205" s="803">
        <v>38327.948473694298</v>
      </c>
      <c r="L205" s="803">
        <v>13302.1196871988</v>
      </c>
      <c r="M205" s="803">
        <v>3673.9674448282772</v>
      </c>
      <c r="N205" s="578"/>
      <c r="O205" s="429"/>
      <c r="P205" s="429"/>
      <c r="Q205" s="429">
        <f>Valuation!$C$9 * USD_2000/USD_BaseYear</f>
        <v>33.069339327731633</v>
      </c>
      <c r="R205" s="803">
        <v>624.47281926520202</v>
      </c>
      <c r="S205" s="803">
        <v>86796.984629579005</v>
      </c>
      <c r="T205" s="803">
        <v>924.92837379115815</v>
      </c>
      <c r="U205" s="803">
        <v>8187.9007837279032</v>
      </c>
      <c r="V205" s="803">
        <v>43535.840304015495</v>
      </c>
      <c r="W205" s="803">
        <v>13173.082022938888</v>
      </c>
      <c r="X205" s="803">
        <v>4125.8739162226366</v>
      </c>
      <c r="AA205" s="201"/>
      <c r="AB205" s="201"/>
      <c r="AC205" s="201"/>
      <c r="AD205" s="201"/>
      <c r="AE205" s="201"/>
      <c r="AF205" s="201"/>
      <c r="AG205" s="201"/>
      <c r="AH205" s="201"/>
      <c r="AI205" s="201"/>
      <c r="AJ205" s="201"/>
      <c r="AK205" s="201"/>
      <c r="AL205" s="201"/>
      <c r="AM205" s="201"/>
    </row>
    <row r="206" spans="1:39">
      <c r="A206" s="949"/>
      <c r="B206" s="640" t="b">
        <f>IF(AND(C208=C206,D208=D206),TRUE,FALSE)</f>
        <v>0</v>
      </c>
      <c r="C206" s="636" t="str">
        <f t="shared" ref="C206:D206" si="104">C187</f>
        <v>95% Elec Source</v>
      </c>
      <c r="D206" s="429" t="str">
        <f t="shared" si="104"/>
        <v>Avg 3100 US Counties</v>
      </c>
      <c r="E206" s="429"/>
      <c r="F206" s="429">
        <f>Valuation!$C$9 * USD_2000/USD_BaseYear</f>
        <v>33.069339327731633</v>
      </c>
      <c r="G206" s="803">
        <v>146.14002230235161</v>
      </c>
      <c r="H206" s="803">
        <v>12406.524904856851</v>
      </c>
      <c r="I206" s="803">
        <v>1592.3617962842493</v>
      </c>
      <c r="J206" s="803">
        <v>1916.144251965062</v>
      </c>
      <c r="K206" s="803">
        <v>12869.822540784791</v>
      </c>
      <c r="L206" s="803">
        <v>5650.8448567385039</v>
      </c>
      <c r="M206" s="803">
        <v>1251.5707625829191</v>
      </c>
      <c r="N206" s="578"/>
      <c r="O206" s="429"/>
      <c r="P206" s="429"/>
      <c r="Q206" s="429">
        <f>Valuation!$C$9 * USD_2000/USD_BaseYear</f>
        <v>33.069339327731633</v>
      </c>
      <c r="R206" s="803">
        <v>146.14002230235161</v>
      </c>
      <c r="S206" s="803">
        <v>12406.524904856851</v>
      </c>
      <c r="T206" s="803">
        <v>1592.3617962842493</v>
      </c>
      <c r="U206" s="803">
        <v>1916.144251965062</v>
      </c>
      <c r="V206" s="803">
        <v>12869.822540784791</v>
      </c>
      <c r="W206" s="803">
        <v>5650.8448567385039</v>
      </c>
      <c r="X206" s="803">
        <v>1251.5707625829191</v>
      </c>
      <c r="AA206" s="201"/>
      <c r="AB206" s="201"/>
      <c r="AC206" s="201"/>
      <c r="AD206" s="201"/>
      <c r="AE206" s="201"/>
      <c r="AF206" s="201"/>
      <c r="AG206" s="201"/>
      <c r="AH206" s="201"/>
      <c r="AI206" s="201"/>
      <c r="AJ206" s="201"/>
      <c r="AK206" s="201"/>
      <c r="AL206" s="201"/>
      <c r="AM206" s="201"/>
    </row>
    <row r="207" spans="1:39">
      <c r="A207" s="949"/>
      <c r="B207" s="640" t="b">
        <f>IF(AND(C208=C207,D208=D207),TRUE,FALSE)</f>
        <v>0</v>
      </c>
      <c r="C207" s="636" t="str">
        <f t="shared" ref="C207:D207" si="105">C188</f>
        <v>95% Elec Source</v>
      </c>
      <c r="D207" s="429" t="str">
        <f t="shared" si="105"/>
        <v>Wgt Avg Auto Manuf Counties</v>
      </c>
      <c r="E207" s="429"/>
      <c r="F207" s="429">
        <f>Valuation!$C$9 * USD_2000/USD_BaseYear</f>
        <v>33.069339327731633</v>
      </c>
      <c r="G207" s="803">
        <v>354.62629882054574</v>
      </c>
      <c r="H207" s="803">
        <v>37315.317677830753</v>
      </c>
      <c r="I207" s="803">
        <v>2041.9326029148592</v>
      </c>
      <c r="J207" s="803">
        <v>3774.7034722860535</v>
      </c>
      <c r="K207" s="803">
        <v>25330.941165080971</v>
      </c>
      <c r="L207" s="803">
        <v>10091.617676883025</v>
      </c>
      <c r="M207" s="803">
        <v>1902.0734009168641</v>
      </c>
      <c r="N207" s="578"/>
      <c r="O207" s="429"/>
      <c r="P207" s="429"/>
      <c r="Q207" s="429">
        <f>Valuation!$C$9 * USD_2000/USD_BaseYear</f>
        <v>33.069339327731633</v>
      </c>
      <c r="R207" s="803">
        <v>354.62629882054574</v>
      </c>
      <c r="S207" s="803">
        <v>37315.317677830753</v>
      </c>
      <c r="T207" s="803">
        <v>2041.9326029148592</v>
      </c>
      <c r="U207" s="803">
        <v>3774.7034722860535</v>
      </c>
      <c r="V207" s="803">
        <v>25330.941165080971</v>
      </c>
      <c r="W207" s="803">
        <v>10091.617676883025</v>
      </c>
      <c r="X207" s="803">
        <v>1902.0734009168641</v>
      </c>
      <c r="AA207" s="201"/>
      <c r="AB207" s="201"/>
      <c r="AC207" s="201"/>
      <c r="AD207" s="201"/>
      <c r="AE207" s="201"/>
      <c r="AF207" s="201"/>
      <c r="AG207" s="201"/>
      <c r="AH207" s="201"/>
      <c r="AI207" s="201"/>
      <c r="AJ207" s="201"/>
      <c r="AK207" s="201"/>
      <c r="AL207" s="201"/>
      <c r="AM207" s="201"/>
    </row>
    <row r="208" spans="1:39">
      <c r="A208" s="949"/>
      <c r="B208" s="640"/>
      <c r="C208" s="485" t="str">
        <f>SUMMARY!$B$15</f>
        <v>US Avg Elec</v>
      </c>
      <c r="D208" s="485" t="str">
        <f>D189</f>
        <v>Wgt Avg Auto Manuf Counties</v>
      </c>
      <c r="E208" s="485">
        <f t="array" ref="E208">SUM(IF($B193:$B207=TRUE,E193:E207))</f>
        <v>0</v>
      </c>
      <c r="F208" s="485">
        <f t="array" ref="F208">SUM(IF($B193:$B207=TRUE,F193:F207))</f>
        <v>33.069339327731633</v>
      </c>
      <c r="G208" s="485">
        <f t="array" ref="G208">SUM(IF($B193:$B207=TRUE,G193:G207))</f>
        <v>354.62629882054574</v>
      </c>
      <c r="H208" s="485">
        <f t="array" ref="H208">SUM(IF($B193:$B207=TRUE,H193:H207))</f>
        <v>37315.317677830753</v>
      </c>
      <c r="I208" s="485">
        <f t="array" ref="I208">SUM(IF($B193:$B207=TRUE,I193:I207))</f>
        <v>2041.9326029148592</v>
      </c>
      <c r="J208" s="485">
        <f t="array" ref="J208">SUM(IF($B193:$B207=TRUE,J193:J207))</f>
        <v>3774.7034722860535</v>
      </c>
      <c r="K208" s="485">
        <f t="array" ref="K208">SUM(IF($B193:$B207=TRUE,K193:K207))</f>
        <v>25330.941165080971</v>
      </c>
      <c r="L208" s="485">
        <f t="array" ref="L208">SUM(IF($B193:$B207=TRUE,L193:L207))</f>
        <v>10091.617676883025</v>
      </c>
      <c r="M208" s="485">
        <f t="array" ref="M208">SUM(IF($B193:$B207=TRUE,M193:M207))</f>
        <v>1902.0734009168641</v>
      </c>
      <c r="N208" s="579"/>
      <c r="O208" s="485"/>
      <c r="P208" s="485">
        <f t="array" ref="P208">SUM(IF($B193:$B207=TRUE,P193:P207))</f>
        <v>0</v>
      </c>
      <c r="Q208" s="485">
        <f t="array" ref="Q208">SUM(IF($B193:$B207=TRUE,Q193:Q207))</f>
        <v>33.069339327731633</v>
      </c>
      <c r="R208" s="485">
        <f t="array" ref="R208">SUM(IF($B193:$B207=TRUE,R193:R207))</f>
        <v>354.62629882054574</v>
      </c>
      <c r="S208" s="485">
        <f t="array" ref="S208">SUM(IF($B193:$B207=TRUE,S193:S207))</f>
        <v>37315.317677830753</v>
      </c>
      <c r="T208" s="485">
        <f t="array" ref="T208">SUM(IF($B193:$B207=TRUE,T193:T207))</f>
        <v>2041.9326029148592</v>
      </c>
      <c r="U208" s="485">
        <f t="array" ref="U208">SUM(IF($B193:$B207=TRUE,U193:U207))</f>
        <v>3774.7034722860535</v>
      </c>
      <c r="V208" s="485">
        <f t="array" ref="V208">SUM(IF($B193:$B207=TRUE,V193:V207))</f>
        <v>25330.941165080971</v>
      </c>
      <c r="W208" s="485">
        <f t="array" ref="W208">SUM(IF($B193:$B207=TRUE,W193:W207))</f>
        <v>10091.617676883025</v>
      </c>
      <c r="X208" s="485">
        <f t="array" ref="X208">SUM(IF($B193:$B207=TRUE,X193:X207))</f>
        <v>1902.0734009168641</v>
      </c>
    </row>
    <row r="209" spans="3:3">
      <c r="C209" s="631"/>
    </row>
  </sheetData>
  <mergeCells count="7">
    <mergeCell ref="A104:A150"/>
    <mergeCell ref="A153:A208"/>
    <mergeCell ref="A28:A60"/>
    <mergeCell ref="A66:A98"/>
    <mergeCell ref="A8:C13"/>
    <mergeCell ref="A14:C19"/>
    <mergeCell ref="A20:C25"/>
  </mergeCells>
  <conditionalFormatting sqref="B106:B117 B122:B133 B138:B149 B155:B169 B174:B188 B193:B207">
    <cfRule type="cellIs" dxfId="0" priority="6" operator="equal">
      <formula>TRUE</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dimension ref="A1:J29"/>
  <sheetViews>
    <sheetView workbookViewId="0"/>
  </sheetViews>
  <sheetFormatPr defaultRowHeight="15"/>
  <cols>
    <col min="1" max="1" width="11.7109375" bestFit="1" customWidth="1"/>
    <col min="2" max="2" width="16.85546875" bestFit="1" customWidth="1"/>
    <col min="3" max="3" width="13.7109375" bestFit="1" customWidth="1"/>
    <col min="4" max="4" width="8" style="125" bestFit="1" customWidth="1"/>
    <col min="5" max="5" width="7.5703125" style="125" bestFit="1" customWidth="1"/>
    <col min="6" max="6" width="8.7109375" style="125" bestFit="1" customWidth="1"/>
    <col min="7" max="7" width="8.42578125" style="125" bestFit="1" customWidth="1"/>
    <col min="8" max="8" width="9.28515625" style="125" bestFit="1" customWidth="1"/>
    <col min="9" max="9" width="3.42578125" customWidth="1"/>
    <col min="10" max="10" width="10.5703125" style="125" bestFit="1" customWidth="1"/>
  </cols>
  <sheetData>
    <row r="1" spans="1:10" ht="23.25">
      <c r="A1" s="59" t="s">
        <v>263</v>
      </c>
    </row>
    <row r="2" spans="1:10">
      <c r="A2" t="s">
        <v>265</v>
      </c>
    </row>
    <row r="3" spans="1:10">
      <c r="D3" s="953" t="s">
        <v>264</v>
      </c>
      <c r="E3" s="953"/>
      <c r="F3" s="953"/>
      <c r="G3" s="953"/>
      <c r="H3" s="953"/>
    </row>
    <row r="4" spans="1:10">
      <c r="B4" s="125" t="s">
        <v>250</v>
      </c>
      <c r="C4" t="s">
        <v>18</v>
      </c>
      <c r="D4" s="19">
        <v>2008</v>
      </c>
      <c r="E4" s="214">
        <v>2010</v>
      </c>
      <c r="F4" s="19" t="s">
        <v>251</v>
      </c>
      <c r="G4" s="19" t="s">
        <v>252</v>
      </c>
      <c r="H4" s="19" t="s">
        <v>253</v>
      </c>
      <c r="J4" s="219" t="s">
        <v>254</v>
      </c>
    </row>
    <row r="5" spans="1:10">
      <c r="A5" s="215" t="s">
        <v>9</v>
      </c>
      <c r="B5" s="216">
        <v>0</v>
      </c>
      <c r="C5" s="215" t="s">
        <v>255</v>
      </c>
      <c r="D5" s="216">
        <v>1123.2</v>
      </c>
      <c r="E5" s="401">
        <f t="shared" ref="E5:E19" si="0">D5+(2010-2008)/(2015-2008)*(G5-D5)</f>
        <v>1100.9142857142858</v>
      </c>
      <c r="F5" s="216">
        <v>1107.5999999999999</v>
      </c>
      <c r="G5" s="216">
        <v>1045.2</v>
      </c>
      <c r="H5" s="216">
        <v>990.6</v>
      </c>
      <c r="J5" s="243"/>
    </row>
    <row r="6" spans="1:10">
      <c r="A6" s="217" t="s">
        <v>256</v>
      </c>
      <c r="B6" s="146">
        <v>10</v>
      </c>
      <c r="C6" s="217" t="s">
        <v>255</v>
      </c>
      <c r="D6" s="146">
        <v>3866.7</v>
      </c>
      <c r="E6" s="402">
        <f t="shared" si="0"/>
        <v>3754.6714285714284</v>
      </c>
      <c r="F6" s="146">
        <v>3863</v>
      </c>
      <c r="G6" s="146">
        <v>3474.6</v>
      </c>
      <c r="H6" s="146">
        <v>2715.2</v>
      </c>
      <c r="J6" s="243"/>
    </row>
    <row r="7" spans="1:10">
      <c r="A7" s="218" t="s">
        <v>256</v>
      </c>
      <c r="B7" s="150">
        <v>10</v>
      </c>
      <c r="C7" s="218" t="s">
        <v>257</v>
      </c>
      <c r="D7" s="150">
        <v>2320</v>
      </c>
      <c r="E7" s="403">
        <f t="shared" si="0"/>
        <v>2252.8000000000002</v>
      </c>
      <c r="F7" s="150">
        <v>2317.8000000000002</v>
      </c>
      <c r="G7" s="150">
        <v>2084.8000000000002</v>
      </c>
      <c r="H7" s="150">
        <v>1900.6</v>
      </c>
      <c r="J7" s="243">
        <f>E7/E6</f>
        <v>0.59999923904317298</v>
      </c>
    </row>
    <row r="8" spans="1:10">
      <c r="A8" s="395" t="s">
        <v>258</v>
      </c>
      <c r="B8" s="396">
        <f>20/1.6</f>
        <v>12.5</v>
      </c>
      <c r="C8" s="395" t="s">
        <v>255</v>
      </c>
      <c r="D8" s="397">
        <f>D6+(D10-D6)*($B8-$B6)/($B10-$B6)</f>
        <v>4783.6750000000002</v>
      </c>
      <c r="E8" s="402">
        <f t="shared" si="0"/>
        <v>4649.2964285714288</v>
      </c>
      <c r="F8" s="397">
        <f t="shared" ref="F8:H9" si="1">F6+(F10-F6)*($B8-$B6)/($B10-$B6)</f>
        <v>4796.1750000000002</v>
      </c>
      <c r="G8" s="397">
        <f t="shared" si="1"/>
        <v>4313.3500000000004</v>
      </c>
      <c r="H8" s="397">
        <f t="shared" si="1"/>
        <v>3372.625</v>
      </c>
      <c r="I8" s="111"/>
      <c r="J8" s="243"/>
    </row>
    <row r="9" spans="1:10">
      <c r="A9" s="398" t="s">
        <v>258</v>
      </c>
      <c r="B9" s="399">
        <f>20/1.6</f>
        <v>12.5</v>
      </c>
      <c r="C9" s="398" t="s">
        <v>257</v>
      </c>
      <c r="D9" s="400">
        <f>D7+(D11-D7)*($B9-$B7)/($B11-$B7)</f>
        <v>2870.2</v>
      </c>
      <c r="E9" s="403">
        <f t="shared" si="0"/>
        <v>2789.5857142857144</v>
      </c>
      <c r="F9" s="400">
        <f t="shared" si="1"/>
        <v>2877.7</v>
      </c>
      <c r="G9" s="400">
        <f t="shared" si="1"/>
        <v>2588.0500000000002</v>
      </c>
      <c r="H9" s="400">
        <f t="shared" si="1"/>
        <v>2360.7999999999997</v>
      </c>
      <c r="I9" s="111"/>
      <c r="J9" s="243">
        <f>E9/E8</f>
        <v>0.6000016899638424</v>
      </c>
    </row>
    <row r="10" spans="1:10">
      <c r="A10" s="217" t="s">
        <v>259</v>
      </c>
      <c r="B10" s="146">
        <v>20</v>
      </c>
      <c r="C10" s="217" t="s">
        <v>255</v>
      </c>
      <c r="D10" s="146">
        <v>7534.6</v>
      </c>
      <c r="E10" s="402">
        <f t="shared" si="0"/>
        <v>7333.1714285714288</v>
      </c>
      <c r="F10" s="146">
        <v>7595.7</v>
      </c>
      <c r="G10" s="146">
        <v>6829.6</v>
      </c>
      <c r="H10" s="146">
        <v>5344.9</v>
      </c>
      <c r="J10" s="243"/>
    </row>
    <row r="11" spans="1:10">
      <c r="A11" s="218" t="s">
        <v>259</v>
      </c>
      <c r="B11" s="150">
        <v>20</v>
      </c>
      <c r="C11" s="218" t="s">
        <v>257</v>
      </c>
      <c r="D11" s="150">
        <v>4520.8</v>
      </c>
      <c r="E11" s="403">
        <f t="shared" si="0"/>
        <v>4399.9428571428571</v>
      </c>
      <c r="F11" s="150">
        <v>4557.3999999999996</v>
      </c>
      <c r="G11" s="150">
        <v>4097.8</v>
      </c>
      <c r="H11" s="150">
        <v>3741.4</v>
      </c>
      <c r="J11" s="243">
        <f>E11/E10</f>
        <v>0.60000545466588218</v>
      </c>
    </row>
    <row r="12" spans="1:10">
      <c r="A12" s="217" t="s">
        <v>260</v>
      </c>
      <c r="B12" s="146">
        <v>30</v>
      </c>
      <c r="C12" s="217" t="s">
        <v>255</v>
      </c>
      <c r="D12" s="146">
        <v>13066.1</v>
      </c>
      <c r="E12" s="402">
        <f t="shared" si="0"/>
        <v>12645.471428571429</v>
      </c>
      <c r="F12" s="146">
        <v>12810.6</v>
      </c>
      <c r="G12" s="146">
        <v>11593.9</v>
      </c>
      <c r="H12" s="146">
        <v>8855.2000000000007</v>
      </c>
      <c r="J12" s="243"/>
    </row>
    <row r="13" spans="1:10">
      <c r="A13" s="218" t="s">
        <v>260</v>
      </c>
      <c r="B13" s="150">
        <v>30</v>
      </c>
      <c r="C13" s="218" t="s">
        <v>257</v>
      </c>
      <c r="D13" s="150">
        <v>7839.6</v>
      </c>
      <c r="E13" s="403">
        <f t="shared" si="0"/>
        <v>7587.2571428571428</v>
      </c>
      <c r="F13" s="150">
        <v>7686.4</v>
      </c>
      <c r="G13" s="150">
        <v>6956.4</v>
      </c>
      <c r="H13" s="150">
        <v>6198.6</v>
      </c>
      <c r="J13" s="243">
        <f>E13/E12</f>
        <v>0.59999796652217674</v>
      </c>
    </row>
    <row r="14" spans="1:10">
      <c r="A14" s="395" t="s">
        <v>261</v>
      </c>
      <c r="B14" s="396">
        <f>60/1.6</f>
        <v>37.5</v>
      </c>
      <c r="C14" s="395" t="s">
        <v>255</v>
      </c>
      <c r="D14" s="397">
        <f>D12+(D16-D12)*($B14-$B12)/($B16-$B12)</f>
        <v>16486.924999999999</v>
      </c>
      <c r="E14" s="402">
        <f t="shared" si="0"/>
        <v>15945.996428571429</v>
      </c>
      <c r="F14" s="397">
        <f>F12+(F16-F12)*($B14-$B12)/($B16-$B12)</f>
        <v>16247.625</v>
      </c>
      <c r="G14" s="397">
        <f t="shared" ref="G14:H15" si="2">G12+(G16-G12)*($B14-$B12)/($B16-$B12)</f>
        <v>14593.674999999999</v>
      </c>
      <c r="H14" s="397">
        <f t="shared" si="2"/>
        <v>11093.95</v>
      </c>
      <c r="I14" s="111"/>
      <c r="J14" s="243"/>
    </row>
    <row r="15" spans="1:10">
      <c r="A15" s="398" t="s">
        <v>261</v>
      </c>
      <c r="B15" s="399">
        <f>60/1.6</f>
        <v>37.5</v>
      </c>
      <c r="C15" s="398" t="s">
        <v>257</v>
      </c>
      <c r="D15" s="400">
        <f>D13+(D17-D13)*($B15-$B13)/($B17-$B13)</f>
        <v>9892.125</v>
      </c>
      <c r="E15" s="403">
        <f t="shared" si="0"/>
        <v>9567.5892857142862</v>
      </c>
      <c r="F15" s="400">
        <f>F13+(F17-F13)*($B15-$B13)/($B17-$B13)</f>
        <v>9748.6</v>
      </c>
      <c r="G15" s="400">
        <f t="shared" si="2"/>
        <v>8756.25</v>
      </c>
      <c r="H15" s="400">
        <f t="shared" si="2"/>
        <v>7765.8000000000011</v>
      </c>
      <c r="I15" s="111"/>
      <c r="J15" s="243">
        <f>E15/E14</f>
        <v>0.59999946247143543</v>
      </c>
    </row>
    <row r="16" spans="1:10">
      <c r="A16" s="217" t="s">
        <v>262</v>
      </c>
      <c r="B16" s="146">
        <v>40</v>
      </c>
      <c r="C16" s="217" t="s">
        <v>255</v>
      </c>
      <c r="D16" s="146">
        <v>17627.2</v>
      </c>
      <c r="E16" s="402">
        <f t="shared" si="0"/>
        <v>17046.17142857143</v>
      </c>
      <c r="F16" s="146">
        <v>17393.3</v>
      </c>
      <c r="G16" s="146">
        <v>15593.6</v>
      </c>
      <c r="H16" s="146">
        <v>11840.2</v>
      </c>
      <c r="J16" s="243"/>
    </row>
    <row r="17" spans="1:10">
      <c r="A17" s="218" t="s">
        <v>262</v>
      </c>
      <c r="B17" s="150">
        <v>40</v>
      </c>
      <c r="C17" s="218" t="s">
        <v>257</v>
      </c>
      <c r="D17" s="150">
        <v>10576.3</v>
      </c>
      <c r="E17" s="403">
        <f t="shared" si="0"/>
        <v>10227.699999999999</v>
      </c>
      <c r="F17" s="150">
        <v>10436</v>
      </c>
      <c r="G17" s="150">
        <v>9356.2000000000007</v>
      </c>
      <c r="H17" s="150">
        <v>8288.2000000000007</v>
      </c>
      <c r="J17" s="243">
        <f>E17/E16</f>
        <v>0.59999983238800159</v>
      </c>
    </row>
    <row r="18" spans="1:10">
      <c r="A18" s="244" t="s">
        <v>24</v>
      </c>
      <c r="B18" s="245">
        <v>150</v>
      </c>
      <c r="C18" s="244" t="s">
        <v>255</v>
      </c>
      <c r="D18" s="146">
        <v>68522.100000000006</v>
      </c>
      <c r="E18" s="402">
        <f t="shared" si="0"/>
        <v>66137.042857142864</v>
      </c>
      <c r="F18" s="146">
        <v>67838.5</v>
      </c>
      <c r="G18" s="146">
        <v>60174.400000000001</v>
      </c>
      <c r="H18" s="146">
        <v>43868.7</v>
      </c>
    </row>
    <row r="19" spans="1:10">
      <c r="A19" s="246" t="s">
        <v>24</v>
      </c>
      <c r="B19" s="247">
        <v>150</v>
      </c>
      <c r="C19" s="246" t="s">
        <v>257</v>
      </c>
      <c r="D19" s="150">
        <v>41113.300000000003</v>
      </c>
      <c r="E19" s="403">
        <f t="shared" si="0"/>
        <v>39682.242857142861</v>
      </c>
      <c r="F19" s="150">
        <v>40703.1</v>
      </c>
      <c r="G19" s="150">
        <v>36104.6</v>
      </c>
      <c r="H19" s="150">
        <v>30708.1</v>
      </c>
      <c r="J19" s="243">
        <f>E19/E18</f>
        <v>0.6000002592020508</v>
      </c>
    </row>
    <row r="22" spans="1:10" ht="23.25">
      <c r="A22" s="59" t="s">
        <v>497</v>
      </c>
    </row>
    <row r="23" spans="1:10">
      <c r="A23" s="218" t="s">
        <v>498</v>
      </c>
      <c r="B23" s="218"/>
      <c r="C23" s="218"/>
      <c r="D23" s="614"/>
    </row>
    <row r="24" spans="1:10">
      <c r="A24" t="s">
        <v>501</v>
      </c>
      <c r="B24" t="s">
        <v>499</v>
      </c>
      <c r="D24" s="471" t="s">
        <v>503</v>
      </c>
    </row>
    <row r="25" spans="1:10">
      <c r="A25" t="s">
        <v>502</v>
      </c>
      <c r="B25">
        <v>136</v>
      </c>
      <c r="C25" t="s">
        <v>500</v>
      </c>
      <c r="D25" s="471"/>
    </row>
    <row r="26" spans="1:10">
      <c r="D26" s="471"/>
    </row>
    <row r="27" spans="1:10">
      <c r="A27" s="218" t="s">
        <v>9</v>
      </c>
      <c r="B27" s="218"/>
      <c r="C27" s="218"/>
      <c r="D27" s="615"/>
    </row>
    <row r="28" spans="1:10">
      <c r="A28" t="s">
        <v>501</v>
      </c>
      <c r="B28" t="s">
        <v>504</v>
      </c>
      <c r="D28" s="471" t="s">
        <v>503</v>
      </c>
    </row>
    <row r="29" spans="1:10">
      <c r="A29" t="s">
        <v>505</v>
      </c>
      <c r="B29">
        <v>1.1000000000000001</v>
      </c>
      <c r="C29" t="s">
        <v>34</v>
      </c>
      <c r="D29" s="471" t="s">
        <v>506</v>
      </c>
    </row>
  </sheetData>
  <mergeCells count="1">
    <mergeCell ref="D3:H3"/>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dimension ref="A1:K32"/>
  <sheetViews>
    <sheetView zoomScaleNormal="100" workbookViewId="0"/>
  </sheetViews>
  <sheetFormatPr defaultRowHeight="15"/>
  <cols>
    <col min="1" max="1" width="20.85546875" customWidth="1"/>
    <col min="2" max="2" width="15.42578125" customWidth="1"/>
    <col min="3" max="3" width="11" bestFit="1" customWidth="1"/>
    <col min="4" max="5" width="7.42578125" bestFit="1" customWidth="1"/>
    <col min="6" max="7" width="9.85546875" bestFit="1" customWidth="1"/>
    <col min="8" max="8" width="9.7109375" bestFit="1" customWidth="1"/>
    <col min="9" max="10" width="15.7109375" bestFit="1" customWidth="1"/>
  </cols>
  <sheetData>
    <row r="1" spans="1:10" ht="26.25">
      <c r="A1" s="58" t="s">
        <v>275</v>
      </c>
      <c r="B1" s="58"/>
      <c r="C1" s="1"/>
      <c r="D1" s="2"/>
      <c r="E1" s="2"/>
      <c r="F1" s="1"/>
      <c r="G1" s="1"/>
    </row>
    <row r="2" spans="1:10" ht="15.75" customHeight="1">
      <c r="A2" s="163" t="s">
        <v>108</v>
      </c>
      <c r="B2" s="163"/>
      <c r="C2" s="1"/>
      <c r="D2" s="2"/>
      <c r="E2" s="2"/>
      <c r="F2" s="1"/>
      <c r="G2" s="1"/>
      <c r="H2" s="1"/>
      <c r="I2" s="1"/>
      <c r="J2" s="1"/>
    </row>
    <row r="3" spans="1:10" ht="15.75" customHeight="1">
      <c r="A3" s="163"/>
      <c r="B3" s="163"/>
      <c r="C3" s="1"/>
      <c r="D3" s="957" t="s">
        <v>490</v>
      </c>
      <c r="E3" s="957"/>
      <c r="F3" s="957"/>
      <c r="G3" s="957"/>
      <c r="H3" s="957"/>
      <c r="I3" s="957"/>
      <c r="J3" s="957"/>
    </row>
    <row r="4" spans="1:10" ht="15.75" customHeight="1">
      <c r="A4" s="163"/>
      <c r="B4" s="163"/>
      <c r="C4" s="1"/>
      <c r="D4" s="954" t="s">
        <v>274</v>
      </c>
      <c r="E4" s="955"/>
      <c r="F4" s="955"/>
      <c r="G4" s="955"/>
      <c r="H4" s="956"/>
      <c r="I4" s="933" t="s">
        <v>272</v>
      </c>
      <c r="J4" s="935"/>
    </row>
    <row r="5" spans="1:10" ht="15.75" customHeight="1">
      <c r="A5" s="58"/>
      <c r="B5" s="58"/>
      <c r="C5" s="25" t="s">
        <v>273</v>
      </c>
      <c r="D5" s="225" t="s">
        <v>266</v>
      </c>
      <c r="E5" s="31" t="s">
        <v>266</v>
      </c>
      <c r="F5" s="31" t="s">
        <v>267</v>
      </c>
      <c r="G5" s="31" t="s">
        <v>268</v>
      </c>
      <c r="H5" s="231" t="s">
        <v>269</v>
      </c>
      <c r="I5" s="149" t="s">
        <v>270</v>
      </c>
      <c r="J5" s="235" t="s">
        <v>271</v>
      </c>
    </row>
    <row r="6" spans="1:10" ht="15.75" thickBot="1">
      <c r="A6" s="62" t="s">
        <v>36</v>
      </c>
      <c r="B6" s="62" t="s">
        <v>575</v>
      </c>
      <c r="C6" s="62" t="s">
        <v>574</v>
      </c>
      <c r="D6" s="226" t="s">
        <v>8</v>
      </c>
      <c r="E6" s="62" t="s">
        <v>9</v>
      </c>
      <c r="F6" s="62" t="s">
        <v>10</v>
      </c>
      <c r="G6" s="62" t="s">
        <v>11</v>
      </c>
      <c r="H6" s="232" t="s">
        <v>24</v>
      </c>
      <c r="I6" s="226" t="s">
        <v>10</v>
      </c>
      <c r="J6" s="232" t="s">
        <v>11</v>
      </c>
    </row>
    <row r="7" spans="1:10" ht="15.75" thickTop="1">
      <c r="A7" s="61">
        <v>5</v>
      </c>
      <c r="B7" s="717">
        <f t="shared" ref="B7:B25" si="0">A7*mi_to_km</f>
        <v>8.0467200000000005</v>
      </c>
      <c r="C7" s="60">
        <v>0.1</v>
      </c>
      <c r="D7" s="227">
        <v>0</v>
      </c>
      <c r="E7" s="60">
        <v>0</v>
      </c>
      <c r="F7" s="60">
        <v>1</v>
      </c>
      <c r="G7" s="60">
        <v>1</v>
      </c>
      <c r="H7" s="233">
        <v>1</v>
      </c>
      <c r="I7" s="230">
        <v>1</v>
      </c>
      <c r="J7" s="236">
        <v>1</v>
      </c>
    </row>
    <row r="8" spans="1:10">
      <c r="A8" s="61">
        <v>10</v>
      </c>
      <c r="B8" s="717">
        <f t="shared" si="0"/>
        <v>16.093440000000001</v>
      </c>
      <c r="C8" s="60">
        <v>0.2</v>
      </c>
      <c r="D8" s="227">
        <v>0</v>
      </c>
      <c r="E8" s="60">
        <v>0</v>
      </c>
      <c r="F8" s="60">
        <v>1</v>
      </c>
      <c r="G8" s="60">
        <v>1</v>
      </c>
      <c r="H8" s="233">
        <v>1</v>
      </c>
      <c r="I8" s="230">
        <v>1</v>
      </c>
      <c r="J8" s="236">
        <v>1</v>
      </c>
    </row>
    <row r="9" spans="1:10">
      <c r="A9" s="61">
        <v>14</v>
      </c>
      <c r="B9" s="717">
        <f t="shared" si="0"/>
        <v>22.530816000000002</v>
      </c>
      <c r="C9" s="60">
        <v>0.3</v>
      </c>
      <c r="D9" s="227">
        <v>0</v>
      </c>
      <c r="E9" s="60">
        <v>0</v>
      </c>
      <c r="F9" s="60">
        <v>0.98099999999999998</v>
      </c>
      <c r="G9" s="60">
        <v>1</v>
      </c>
      <c r="H9" s="233">
        <v>1</v>
      </c>
      <c r="I9" s="230">
        <v>0.99780000000000002</v>
      </c>
      <c r="J9" s="236">
        <v>1</v>
      </c>
    </row>
    <row r="10" spans="1:10">
      <c r="A10" s="61">
        <v>19</v>
      </c>
      <c r="B10" s="717">
        <f t="shared" si="0"/>
        <v>30.577536000000002</v>
      </c>
      <c r="C10" s="60">
        <v>0.4</v>
      </c>
      <c r="D10" s="227">
        <v>0</v>
      </c>
      <c r="E10" s="60">
        <v>0</v>
      </c>
      <c r="F10" s="60">
        <v>0.87629999999999997</v>
      </c>
      <c r="G10" s="60">
        <v>1</v>
      </c>
      <c r="H10" s="233">
        <v>1</v>
      </c>
      <c r="I10" s="230">
        <v>0.91100000000000003</v>
      </c>
      <c r="J10" s="236">
        <v>1</v>
      </c>
    </row>
    <row r="11" spans="1:10">
      <c r="A11" s="61">
        <v>25</v>
      </c>
      <c r="B11" s="717">
        <f t="shared" si="0"/>
        <v>40.233600000000003</v>
      </c>
      <c r="C11" s="60">
        <v>0.5</v>
      </c>
      <c r="D11" s="227">
        <v>0</v>
      </c>
      <c r="E11" s="60">
        <v>0</v>
      </c>
      <c r="F11" s="60">
        <v>0.75290000000000001</v>
      </c>
      <c r="G11" s="60">
        <v>1</v>
      </c>
      <c r="H11" s="233">
        <v>1</v>
      </c>
      <c r="I11" s="230">
        <v>0.79</v>
      </c>
      <c r="J11" s="236">
        <v>1</v>
      </c>
    </row>
    <row r="12" spans="1:10">
      <c r="A12" s="61">
        <v>32</v>
      </c>
      <c r="B12" s="717">
        <f t="shared" si="0"/>
        <v>51.499008000000003</v>
      </c>
      <c r="C12" s="60">
        <v>0.6</v>
      </c>
      <c r="D12" s="227">
        <v>0</v>
      </c>
      <c r="E12" s="60">
        <v>0</v>
      </c>
      <c r="F12" s="60">
        <v>0.65080000000000005</v>
      </c>
      <c r="G12" s="60">
        <v>1</v>
      </c>
      <c r="H12" s="233">
        <v>1</v>
      </c>
      <c r="I12" s="230">
        <v>0.68859999999999999</v>
      </c>
      <c r="J12" s="236">
        <v>0.9637</v>
      </c>
    </row>
    <row r="13" spans="1:10">
      <c r="A13" s="61">
        <v>41</v>
      </c>
      <c r="B13" s="717">
        <f t="shared" si="0"/>
        <v>65.983103999999997</v>
      </c>
      <c r="C13" s="60">
        <v>0.7</v>
      </c>
      <c r="D13" s="227">
        <v>0</v>
      </c>
      <c r="E13" s="60">
        <v>0</v>
      </c>
      <c r="F13" s="60">
        <v>0.56430000000000002</v>
      </c>
      <c r="G13" s="60">
        <v>0.99409999999999998</v>
      </c>
      <c r="H13" s="233">
        <v>1</v>
      </c>
      <c r="I13" s="230">
        <v>0.59930000000000005</v>
      </c>
      <c r="J13" s="236">
        <v>0.88959999999999995</v>
      </c>
    </row>
    <row r="14" spans="1:10">
      <c r="A14" s="61">
        <v>56</v>
      </c>
      <c r="B14" s="717">
        <f t="shared" si="0"/>
        <v>90.123264000000006</v>
      </c>
      <c r="C14" s="60">
        <v>0.8</v>
      </c>
      <c r="D14" s="227">
        <v>0</v>
      </c>
      <c r="E14" s="60">
        <v>0</v>
      </c>
      <c r="F14" s="60">
        <v>0.47199999999999998</v>
      </c>
      <c r="G14" s="60">
        <v>0.92949999999999999</v>
      </c>
      <c r="H14" s="233">
        <v>1</v>
      </c>
      <c r="I14" s="230">
        <v>0.50290000000000001</v>
      </c>
      <c r="J14" s="236">
        <v>0.78169999999999995</v>
      </c>
    </row>
    <row r="15" spans="1:10">
      <c r="A15" s="61">
        <v>84</v>
      </c>
      <c r="B15" s="717">
        <f t="shared" si="0"/>
        <v>135.18489600000001</v>
      </c>
      <c r="C15" s="60">
        <v>0.9</v>
      </c>
      <c r="D15" s="227">
        <v>0</v>
      </c>
      <c r="E15" s="60">
        <v>0</v>
      </c>
      <c r="F15" s="60">
        <v>0.39140000000000003</v>
      </c>
      <c r="G15" s="60">
        <v>0.82479999999999998</v>
      </c>
      <c r="H15" s="233">
        <v>1</v>
      </c>
      <c r="I15" s="230">
        <v>0.41789999999999999</v>
      </c>
      <c r="J15" s="236">
        <v>0.66890000000000005</v>
      </c>
    </row>
    <row r="16" spans="1:10">
      <c r="A16" s="61">
        <v>100</v>
      </c>
      <c r="B16" s="717">
        <f t="shared" si="0"/>
        <v>160.93440000000001</v>
      </c>
      <c r="C16" s="60">
        <v>0.92869999999999997</v>
      </c>
      <c r="D16" s="227">
        <v>0</v>
      </c>
      <c r="E16" s="60">
        <v>0</v>
      </c>
      <c r="F16" s="60">
        <v>0.36570000000000003</v>
      </c>
      <c r="G16" s="60">
        <v>0.78339999999999999</v>
      </c>
      <c r="H16" s="233">
        <v>1</v>
      </c>
      <c r="I16" s="230">
        <v>0.39069999999999999</v>
      </c>
      <c r="J16" s="236">
        <v>0.63</v>
      </c>
    </row>
    <row r="17" spans="1:11">
      <c r="A17" s="61">
        <v>200</v>
      </c>
      <c r="B17" s="717">
        <f t="shared" si="0"/>
        <v>321.86880000000002</v>
      </c>
      <c r="C17" s="60">
        <v>0.98109999999999997</v>
      </c>
      <c r="D17" s="227">
        <v>0</v>
      </c>
      <c r="E17" s="60">
        <v>0</v>
      </c>
      <c r="F17" s="60">
        <v>0.309</v>
      </c>
      <c r="G17" s="60">
        <v>0.67949999999999999</v>
      </c>
      <c r="H17" s="233">
        <v>1</v>
      </c>
      <c r="I17" s="230">
        <v>0.33029999999999998</v>
      </c>
      <c r="J17" s="236">
        <v>0.53890000000000005</v>
      </c>
    </row>
    <row r="18" spans="1:11">
      <c r="A18" s="61">
        <v>300</v>
      </c>
      <c r="B18" s="717">
        <f t="shared" si="0"/>
        <v>482.80320000000006</v>
      </c>
      <c r="C18" s="60">
        <v>0.99139999999999995</v>
      </c>
      <c r="D18" s="227">
        <v>0</v>
      </c>
      <c r="E18" s="60">
        <v>0</v>
      </c>
      <c r="F18" s="60">
        <v>0.29120000000000001</v>
      </c>
      <c r="G18" s="60">
        <v>0.64349999999999996</v>
      </c>
      <c r="H18" s="233">
        <v>1</v>
      </c>
      <c r="I18" s="230">
        <v>0.31140000000000001</v>
      </c>
      <c r="J18" s="236">
        <v>0.50919999999999999</v>
      </c>
    </row>
    <row r="19" spans="1:11">
      <c r="A19" s="61">
        <v>400</v>
      </c>
      <c r="B19" s="717">
        <f t="shared" si="0"/>
        <v>643.73760000000004</v>
      </c>
      <c r="C19" s="60">
        <v>0.99460000000000004</v>
      </c>
      <c r="D19" s="227">
        <v>0</v>
      </c>
      <c r="E19" s="60">
        <v>0</v>
      </c>
      <c r="F19" s="60">
        <v>0.28370000000000001</v>
      </c>
      <c r="G19" s="60">
        <v>0.62780000000000002</v>
      </c>
      <c r="H19" s="233">
        <v>1</v>
      </c>
      <c r="I19" s="230">
        <v>0.3034</v>
      </c>
      <c r="J19" s="236">
        <v>0.49640000000000001</v>
      </c>
    </row>
    <row r="20" spans="1:11">
      <c r="A20" s="61">
        <v>500</v>
      </c>
      <c r="B20" s="717">
        <f t="shared" si="0"/>
        <v>804.67200000000003</v>
      </c>
      <c r="C20" s="60">
        <v>0.99580000000000002</v>
      </c>
      <c r="D20" s="227">
        <v>0</v>
      </c>
      <c r="E20" s="60">
        <v>0</v>
      </c>
      <c r="F20" s="60">
        <v>0.2802</v>
      </c>
      <c r="G20" s="60">
        <v>0.62029999999999996</v>
      </c>
      <c r="H20" s="233">
        <v>1</v>
      </c>
      <c r="I20" s="230">
        <v>0.29959999999999998</v>
      </c>
      <c r="J20" s="236">
        <v>0.49030000000000001</v>
      </c>
    </row>
    <row r="21" spans="1:11">
      <c r="A21" s="61">
        <v>600</v>
      </c>
      <c r="B21" s="717">
        <f t="shared" si="0"/>
        <v>965.60640000000012</v>
      </c>
      <c r="C21" s="60">
        <v>0.99729999999999996</v>
      </c>
      <c r="D21" s="227">
        <v>0</v>
      </c>
      <c r="E21" s="60">
        <v>0</v>
      </c>
      <c r="F21" s="60">
        <v>0.27479999999999999</v>
      </c>
      <c r="G21" s="60">
        <v>0.60870000000000002</v>
      </c>
      <c r="H21" s="233">
        <v>1</v>
      </c>
      <c r="I21" s="230">
        <v>0.29380000000000001</v>
      </c>
      <c r="J21" s="236">
        <v>0.48099999999999998</v>
      </c>
    </row>
    <row r="22" spans="1:11">
      <c r="A22" s="61">
        <v>700</v>
      </c>
      <c r="B22" s="717">
        <f t="shared" si="0"/>
        <v>1126.5408</v>
      </c>
      <c r="C22" s="60">
        <v>0.99880000000000002</v>
      </c>
      <c r="D22" s="227">
        <v>0</v>
      </c>
      <c r="E22" s="60">
        <v>0</v>
      </c>
      <c r="F22" s="60">
        <v>0.26860000000000001</v>
      </c>
      <c r="G22" s="60">
        <v>0.59550000000000003</v>
      </c>
      <c r="H22" s="233">
        <v>1</v>
      </c>
      <c r="I22" s="230">
        <v>0.2873</v>
      </c>
      <c r="J22" s="236">
        <v>0.47039999999999998</v>
      </c>
    </row>
    <row r="23" spans="1:11">
      <c r="A23" s="61">
        <v>800</v>
      </c>
      <c r="B23" s="717">
        <f t="shared" si="0"/>
        <v>1287.4752000000001</v>
      </c>
      <c r="C23" s="60">
        <v>0.999</v>
      </c>
      <c r="D23" s="227">
        <v>0</v>
      </c>
      <c r="E23" s="60">
        <v>0</v>
      </c>
      <c r="F23" s="60">
        <v>0.26769999999999999</v>
      </c>
      <c r="G23" s="60">
        <v>0.59360000000000002</v>
      </c>
      <c r="H23" s="233">
        <v>1</v>
      </c>
      <c r="I23" s="230">
        <v>0.2863</v>
      </c>
      <c r="J23" s="236">
        <v>0.46889999999999998</v>
      </c>
    </row>
    <row r="24" spans="1:11">
      <c r="A24" s="61">
        <v>900</v>
      </c>
      <c r="B24" s="717">
        <f t="shared" si="0"/>
        <v>1448.4096000000002</v>
      </c>
      <c r="C24" s="60">
        <v>0.99919999999999998</v>
      </c>
      <c r="D24" s="227">
        <v>0</v>
      </c>
      <c r="E24" s="60">
        <v>0</v>
      </c>
      <c r="F24" s="60">
        <v>0.26679999999999998</v>
      </c>
      <c r="G24" s="60">
        <v>0.59150000000000003</v>
      </c>
      <c r="H24" s="233">
        <v>1</v>
      </c>
      <c r="I24" s="230">
        <v>0.2853</v>
      </c>
      <c r="J24" s="236">
        <v>0.4672</v>
      </c>
    </row>
    <row r="25" spans="1:11">
      <c r="A25" s="61">
        <v>1000</v>
      </c>
      <c r="B25" s="717">
        <f t="shared" si="0"/>
        <v>1609.3440000000001</v>
      </c>
      <c r="C25" s="60">
        <v>0.99939999999999996</v>
      </c>
      <c r="D25" s="227">
        <v>0</v>
      </c>
      <c r="E25" s="60">
        <v>0</v>
      </c>
      <c r="F25" s="60">
        <v>0.26550000000000001</v>
      </c>
      <c r="G25" s="60">
        <v>0.5887</v>
      </c>
      <c r="H25" s="233">
        <v>1</v>
      </c>
      <c r="I25" s="230">
        <v>0.28389999999999999</v>
      </c>
      <c r="J25" s="236">
        <v>0.46500000000000002</v>
      </c>
    </row>
    <row r="26" spans="1:11">
      <c r="A26" s="61" t="s">
        <v>49</v>
      </c>
      <c r="B26" s="61"/>
      <c r="C26" s="60">
        <f>C25</f>
        <v>0.99939999999999996</v>
      </c>
      <c r="D26" s="227">
        <f t="shared" ref="D26:J26" si="1">D25</f>
        <v>0</v>
      </c>
      <c r="E26" s="60">
        <f t="shared" si="1"/>
        <v>0</v>
      </c>
      <c r="F26" s="60">
        <f t="shared" si="1"/>
        <v>0.26550000000000001</v>
      </c>
      <c r="G26" s="60">
        <f t="shared" si="1"/>
        <v>0.5887</v>
      </c>
      <c r="H26" s="233">
        <f t="shared" si="1"/>
        <v>1</v>
      </c>
      <c r="I26" s="227">
        <f t="shared" si="1"/>
        <v>0.28389999999999999</v>
      </c>
      <c r="J26" s="233">
        <f t="shared" si="1"/>
        <v>0.46500000000000002</v>
      </c>
    </row>
    <row r="27" spans="1:11">
      <c r="A27" s="9" t="str">
        <f>SUMMARY!B20</f>
        <v>Base Case</v>
      </c>
      <c r="B27" s="9"/>
      <c r="C27" s="10">
        <f t="array" ref="C27">SUM(IF($A27=$A7:$A26,C7:C26))</f>
        <v>0.99939999999999996</v>
      </c>
      <c r="D27" s="228">
        <f t="array" ref="D27">SUM(IF($A27=$A7:$A26,D7:D26))</f>
        <v>0</v>
      </c>
      <c r="E27" s="229">
        <f t="array" ref="E27">SUM(IF($A27=$A7:$A26,E7:E26))</f>
        <v>0</v>
      </c>
      <c r="F27" s="229">
        <f t="array" ref="F27">SUM(IF($A27=$A7:$A26,F7:F26))</f>
        <v>0.26550000000000001</v>
      </c>
      <c r="G27" s="229">
        <f t="array" ref="G27">SUM(IF($A27=$A7:$A26,G7:G26))</f>
        <v>0.5887</v>
      </c>
      <c r="H27" s="234">
        <f t="array" ref="H27">SUM(IF($A27=$A7:$A26,H7:H26))</f>
        <v>1</v>
      </c>
      <c r="I27" s="228">
        <f t="array" ref="I27">SUM(IF($A27=$A7:$A26,I7:I26))</f>
        <v>0.28389999999999999</v>
      </c>
      <c r="J27" s="234">
        <f t="array" ref="J27">SUM(IF($A27=$A7:$A26,J7:J26))</f>
        <v>0.46500000000000002</v>
      </c>
    </row>
    <row r="29" spans="1:11">
      <c r="I29" s="18" t="s">
        <v>671</v>
      </c>
    </row>
    <row r="30" spans="1:11">
      <c r="I30" t="s">
        <v>672</v>
      </c>
    </row>
    <row r="31" spans="1:11">
      <c r="I31" s="829">
        <f>Vehicle!D86*Design!G9/1000</f>
        <v>13.473373118527409</v>
      </c>
      <c r="J31" s="829">
        <f>Vehicle!D105/1000*Design!G15</f>
        <v>25.411358320250613</v>
      </c>
      <c r="K31" t="s">
        <v>670</v>
      </c>
    </row>
    <row r="32" spans="1:11">
      <c r="F32" s="623"/>
    </row>
  </sheetData>
  <mergeCells count="3">
    <mergeCell ref="D4:H4"/>
    <mergeCell ref="I4:J4"/>
    <mergeCell ref="D3:J3"/>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dimension ref="A1:T159"/>
  <sheetViews>
    <sheetView zoomScale="70" zoomScaleNormal="70" workbookViewId="0">
      <pane xSplit="1" topLeftCell="B1" activePane="topRight" state="frozen"/>
      <selection pane="topRight"/>
    </sheetView>
  </sheetViews>
  <sheetFormatPr defaultRowHeight="15"/>
  <cols>
    <col min="1" max="1" width="28.42578125" customWidth="1"/>
    <col min="2" max="2" width="12" bestFit="1" customWidth="1"/>
    <col min="3" max="3" width="13" bestFit="1" customWidth="1"/>
    <col min="4" max="4" width="14" bestFit="1" customWidth="1"/>
    <col min="5" max="5" width="12.7109375" bestFit="1" customWidth="1"/>
    <col min="6" max="6" width="12.7109375" customWidth="1"/>
    <col min="7" max="7" width="11" customWidth="1"/>
    <col min="13" max="13" width="9.140625" style="125"/>
    <col min="15" max="15" width="20" customWidth="1"/>
    <col min="16" max="16" width="10.5703125" bestFit="1" customWidth="1"/>
    <col min="18" max="18" width="23.5703125" bestFit="1" customWidth="1"/>
  </cols>
  <sheetData>
    <row r="1" spans="1:20" ht="23.25">
      <c r="A1" s="59" t="s">
        <v>491</v>
      </c>
      <c r="E1" s="469"/>
      <c r="M1"/>
      <c r="N1" s="555"/>
    </row>
    <row r="2" spans="1:20">
      <c r="M2"/>
      <c r="N2" s="616"/>
    </row>
    <row r="3" spans="1:20">
      <c r="A3" s="18" t="s">
        <v>422</v>
      </c>
      <c r="M3"/>
      <c r="N3" s="616"/>
    </row>
    <row r="4" spans="1:20" ht="45">
      <c r="A4" s="583"/>
      <c r="B4" s="625" t="s">
        <v>516</v>
      </c>
      <c r="C4" s="625" t="s">
        <v>517</v>
      </c>
      <c r="D4" s="625" t="s">
        <v>518</v>
      </c>
      <c r="E4" s="625" t="s">
        <v>514</v>
      </c>
      <c r="F4" s="626" t="s">
        <v>515</v>
      </c>
      <c r="G4" s="625" t="s">
        <v>695</v>
      </c>
      <c r="H4" s="626" t="s">
        <v>648</v>
      </c>
      <c r="I4" s="625" t="s">
        <v>519</v>
      </c>
      <c r="M4"/>
      <c r="Q4" s="555"/>
      <c r="T4" s="616"/>
    </row>
    <row r="5" spans="1:20">
      <c r="A5" s="554" t="s">
        <v>8</v>
      </c>
      <c r="B5" s="485">
        <f>C46-H46</f>
        <v>23019.490021615933</v>
      </c>
      <c r="C5" s="485">
        <f>H46</f>
        <v>0</v>
      </c>
      <c r="D5" s="485">
        <v>0</v>
      </c>
      <c r="E5" s="485">
        <f>Vehicle!N6*$S$159/SUMMARY!$B$32*SUMMARY!$B$39</f>
        <v>12386.239508244789</v>
      </c>
      <c r="F5" s="627">
        <f>Vehicle!O6*$P$48/SUMMARY!$B$32*SUMMARY!$B$39</f>
        <v>0</v>
      </c>
      <c r="G5" s="437">
        <f>Maintenance!B30</f>
        <v>4379.9559833068452</v>
      </c>
      <c r="H5" s="627">
        <f>Charger!B4</f>
        <v>0</v>
      </c>
      <c r="I5" s="485">
        <f>SUM(B5:H5)</f>
        <v>39785.685513167569</v>
      </c>
      <c r="M5"/>
      <c r="Q5" s="555"/>
      <c r="T5" s="616"/>
    </row>
    <row r="6" spans="1:20">
      <c r="A6" s="554" t="s">
        <v>9</v>
      </c>
      <c r="B6" s="485">
        <f>D46-I46</f>
        <v>24799.941964129226</v>
      </c>
      <c r="C6" s="485">
        <f>I46</f>
        <v>2067.978343167611</v>
      </c>
      <c r="D6" s="485">
        <f>PV((1+Nominal_discount_rate)^(SUMMARY!B17)-1,SUMMARY!B48,-OwnershipCost!I46)</f>
        <v>0</v>
      </c>
      <c r="E6" s="485">
        <f>Vehicle!N7*$S$159/SUMMARY!$B$32*SUMMARY!$B$39</f>
        <v>8847.3139344605643</v>
      </c>
      <c r="F6" s="627">
        <f>Vehicle!O7*$P$48/SUMMARY!$B$32*SUMMARY!$B$39</f>
        <v>0</v>
      </c>
      <c r="G6" s="437">
        <f>Maintenance!C30</f>
        <v>3961.7852942126851</v>
      </c>
      <c r="H6" s="627">
        <f>Charger!B5</f>
        <v>0</v>
      </c>
      <c r="I6" s="485">
        <f t="shared" ref="I6:I9" si="0">SUM(B6:H6)</f>
        <v>39677.019535970088</v>
      </c>
      <c r="M6"/>
      <c r="Q6" s="555"/>
      <c r="T6" s="616"/>
    </row>
    <row r="7" spans="1:20">
      <c r="A7" s="554" t="s">
        <v>10</v>
      </c>
      <c r="B7" s="485">
        <f>E46-J46</f>
        <v>25665.680796868604</v>
      </c>
      <c r="C7" s="485">
        <f>J46</f>
        <v>2631.9724367587778</v>
      </c>
      <c r="D7" s="485">
        <f>PV((1+Nominal_discount_rate)^(Battery_life__years)-1,SUMMARY!$B$49,-OwnershipCost!J46)</f>
        <v>0</v>
      </c>
      <c r="E7" s="485">
        <f>Vehicle!N8*$S$159/SUMMARY!$B$32*SUMMARY!$B$39</f>
        <v>7189.0614919024256</v>
      </c>
      <c r="F7" s="627">
        <f>Vehicle!O8*$P$48/SUMMARY!$B$32*SUMMARY!$B$39</f>
        <v>787.62568701449754</v>
      </c>
      <c r="G7" s="437">
        <f>Maintenance!D30</f>
        <v>3234.9494096753001</v>
      </c>
      <c r="H7" s="627">
        <f>Charger!B6</f>
        <v>1200</v>
      </c>
      <c r="I7" s="485">
        <f t="shared" si="0"/>
        <v>40709.289822219602</v>
      </c>
      <c r="M7"/>
      <c r="Q7" s="555"/>
      <c r="T7" s="616"/>
    </row>
    <row r="8" spans="1:20">
      <c r="A8" s="554" t="s">
        <v>11</v>
      </c>
      <c r="B8" s="485">
        <f>F46-K46</f>
        <v>25728.873412397024</v>
      </c>
      <c r="C8" s="485">
        <f>K46</f>
        <v>8730.0598352515044</v>
      </c>
      <c r="D8" s="485">
        <f>PV((1+Nominal_discount_rate)^(Battery_life__years)-1,SUMMARY!$B$49,-OwnershipCost!K46)</f>
        <v>0</v>
      </c>
      <c r="E8" s="485">
        <f>Vehicle!N9*$S$159/SUMMARY!$B$32*SUMMARY!$B$39</f>
        <v>6226.4230100894329</v>
      </c>
      <c r="F8" s="627">
        <f>Vehicle!O9*$P$48/SUMMARY!$B$32*SUMMARY!$B$39</f>
        <v>2314.2026082352727</v>
      </c>
      <c r="G8" s="437">
        <f>Maintenance!D30</f>
        <v>3234.9494096753001</v>
      </c>
      <c r="H8" s="627">
        <f>Charger!B7</f>
        <v>2400</v>
      </c>
      <c r="I8" s="485">
        <f t="shared" si="0"/>
        <v>48634.508275648535</v>
      </c>
      <c r="M8"/>
      <c r="Q8" s="555"/>
      <c r="T8" s="616"/>
    </row>
    <row r="9" spans="1:20">
      <c r="A9" s="554" t="s">
        <v>24</v>
      </c>
      <c r="B9" s="485">
        <f>G46-L46</f>
        <v>20496.524846643686</v>
      </c>
      <c r="C9" s="485">
        <f>L46</f>
        <v>31953.346041946596</v>
      </c>
      <c r="D9" s="485">
        <f>PV((1+Nominal_discount_rate)^(Battery_life__years)-1,SUMMARY!$B$49,-OwnershipCost!L46)</f>
        <v>0</v>
      </c>
      <c r="E9" s="485">
        <f>Vehicle!N10*$S$159/SUMMARY!$B$32*SUMMARY!$B$39</f>
        <v>0</v>
      </c>
      <c r="F9" s="627">
        <f>Vehicle!O10*$P$48/SUMMARY!$B$32*SUMMARY!$B$39</f>
        <v>5281.9362399936672</v>
      </c>
      <c r="G9" s="437">
        <f>Maintenance!E30</f>
        <v>2232.3495903035837</v>
      </c>
      <c r="H9" s="627">
        <f>Charger!B8</f>
        <v>2400</v>
      </c>
      <c r="I9" s="485">
        <f t="shared" si="0"/>
        <v>62364.156718887534</v>
      </c>
      <c r="M9"/>
      <c r="Q9" s="555"/>
      <c r="T9" s="616"/>
    </row>
    <row r="10" spans="1:20">
      <c r="M10"/>
      <c r="N10" s="616"/>
    </row>
    <row r="11" spans="1:20">
      <c r="M11"/>
      <c r="N11" s="616"/>
    </row>
    <row r="12" spans="1:20">
      <c r="M12"/>
      <c r="N12" s="616"/>
    </row>
    <row r="13" spans="1:20">
      <c r="M13"/>
      <c r="N13" s="616"/>
    </row>
    <row r="14" spans="1:20" ht="23.25">
      <c r="A14" s="59" t="s">
        <v>230</v>
      </c>
      <c r="O14" s="59" t="s">
        <v>277</v>
      </c>
      <c r="R14" s="59" t="s">
        <v>276</v>
      </c>
    </row>
    <row r="15" spans="1:20" ht="15.75" thickBot="1">
      <c r="A15" s="39"/>
      <c r="B15" s="55" t="s">
        <v>72</v>
      </c>
      <c r="C15" s="55" t="s">
        <v>8</v>
      </c>
      <c r="D15" s="55" t="s">
        <v>9</v>
      </c>
      <c r="E15" s="55" t="s">
        <v>10</v>
      </c>
      <c r="F15" s="55" t="s">
        <v>11</v>
      </c>
      <c r="G15" s="619" t="s">
        <v>24</v>
      </c>
      <c r="H15" s="55" t="s">
        <v>507</v>
      </c>
      <c r="I15" s="55" t="s">
        <v>508</v>
      </c>
      <c r="J15" s="55" t="s">
        <v>509</v>
      </c>
      <c r="K15" s="55" t="s">
        <v>510</v>
      </c>
      <c r="L15" s="55" t="s">
        <v>511</v>
      </c>
      <c r="M15" s="199" t="s">
        <v>100</v>
      </c>
      <c r="O15" s="39"/>
      <c r="P15" s="39" t="s">
        <v>278</v>
      </c>
      <c r="R15" s="39"/>
      <c r="S15" s="155" t="s">
        <v>281</v>
      </c>
    </row>
    <row r="16" spans="1:20" ht="15.75" thickTop="1">
      <c r="A16" s="18" t="s">
        <v>286</v>
      </c>
      <c r="B16" s="125">
        <v>2015</v>
      </c>
      <c r="C16" s="52">
        <f>14571 * (USD_BaseYear/USD_2007)</f>
        <v>15346.326681077289</v>
      </c>
      <c r="D16" s="52">
        <f>17007 * (USD_BaseYear/USD_2007)</f>
        <v>17911.946871531225</v>
      </c>
      <c r="E16" s="52">
        <f>17912 * (USD_BaseYear/USD_2007)</f>
        <v>18865.102155751589</v>
      </c>
      <c r="F16" s="52">
        <f>21812 * (USD_BaseYear/USD_2007)</f>
        <v>22972.622165099019</v>
      </c>
      <c r="G16" s="620">
        <f>33964 * (USD_BaseYear/USD_2007)</f>
        <v>35771.233230122096</v>
      </c>
      <c r="H16" s="52">
        <v>0</v>
      </c>
      <c r="I16" s="52">
        <f>1309 * (USD_BaseYear/USD_2007)</f>
        <v>1378.6522287784073</v>
      </c>
      <c r="J16" s="52">
        <f>1666 * (USD_BaseYear/USD_2007)</f>
        <v>1754.6482911725184</v>
      </c>
      <c r="K16" s="52">
        <f>5526 * (USD_BaseYear/USD_2007)</f>
        <v>5820.039890167669</v>
      </c>
      <c r="L16" s="52">
        <f>20226 * (USD_BaseYear/USD_2007)</f>
        <v>21302.230694631064</v>
      </c>
      <c r="M16" s="125" t="s">
        <v>90</v>
      </c>
      <c r="O16" s="125" t="s">
        <v>284</v>
      </c>
      <c r="P16" s="239">
        <f>AVERAGE(P19:P47)</f>
        <v>11.37793103448276</v>
      </c>
      <c r="R16" s="249" t="s">
        <v>385</v>
      </c>
      <c r="S16" s="115">
        <v>461.1</v>
      </c>
    </row>
    <row r="17" spans="1:19">
      <c r="A17" s="18" t="s">
        <v>293</v>
      </c>
      <c r="B17" s="125">
        <v>2015</v>
      </c>
      <c r="C17" s="52">
        <f>14571 * (USD_BaseYear/USD_2007)</f>
        <v>15346.326681077289</v>
      </c>
      <c r="D17" s="52">
        <f>16357 * (USD_BaseYear/USD_2007)</f>
        <v>17227.360203306653</v>
      </c>
      <c r="E17" s="52">
        <f>17112 * (USD_BaseYear/USD_2007)</f>
        <v>18022.533948705961</v>
      </c>
      <c r="F17" s="52">
        <f>19425 * (USD_BaseYear/USD_2007)</f>
        <v>20458.609277326632</v>
      </c>
      <c r="G17" s="620">
        <f>24780 * (USD_BaseYear/USD_2007)</f>
        <v>26098.550213238297</v>
      </c>
      <c r="H17" s="52">
        <v>0</v>
      </c>
      <c r="I17" s="52">
        <f>654 * (USD_BaseYear/USD_2007)</f>
        <v>688.79950925980006</v>
      </c>
      <c r="J17" s="52">
        <f>1041 * (USD_BaseYear/USD_2007)</f>
        <v>1096.3918794181222</v>
      </c>
      <c r="K17" s="52">
        <f>3316 * (USD_BaseYear/USD_2007)</f>
        <v>3492.4452182041241</v>
      </c>
      <c r="L17" s="52">
        <f>11237 * (USD_BaseYear/USD_2007)</f>
        <v>11834.923678214638</v>
      </c>
      <c r="M17" s="125" t="s">
        <v>90</v>
      </c>
      <c r="O17" s="125" t="s">
        <v>282</v>
      </c>
      <c r="P17" s="239">
        <f>MIN(P19:P47)</f>
        <v>10.15</v>
      </c>
      <c r="R17" s="125" t="s">
        <v>284</v>
      </c>
      <c r="S17" s="115">
        <f>AVERAGE(S20:S158)</f>
        <v>275.08776978417251</v>
      </c>
    </row>
    <row r="18" spans="1:19">
      <c r="A18" s="18" t="s">
        <v>287</v>
      </c>
      <c r="B18" s="125">
        <v>2015</v>
      </c>
      <c r="C18" s="52">
        <f t="shared" ref="C18:F19" si="1">1.5*C16</f>
        <v>23019.490021615933</v>
      </c>
      <c r="D18" s="52">
        <f t="shared" si="1"/>
        <v>26867.920307296838</v>
      </c>
      <c r="E18" s="52">
        <f t="shared" si="1"/>
        <v>28297.653233627381</v>
      </c>
      <c r="F18" s="52">
        <f t="shared" si="1"/>
        <v>34458.933247648529</v>
      </c>
      <c r="G18" s="620">
        <f>49800 * (USD_BaseYear/USD_2007)</f>
        <v>52449.870888590282</v>
      </c>
      <c r="H18" s="52">
        <v>0</v>
      </c>
      <c r="I18" s="52">
        <f>1.5*I16</f>
        <v>2067.978343167611</v>
      </c>
      <c r="J18" s="52">
        <f t="shared" ref="J18" si="2">1.5*J16</f>
        <v>2631.9724367587778</v>
      </c>
      <c r="K18" s="52">
        <f t="shared" ref="K18" si="3">1.5*K16</f>
        <v>8730.0598352515044</v>
      </c>
      <c r="L18" s="52">
        <f t="shared" ref="L18" si="4">1.5*L16</f>
        <v>31953.346041946596</v>
      </c>
      <c r="M18" s="125" t="s">
        <v>90</v>
      </c>
      <c r="O18" s="150" t="s">
        <v>283</v>
      </c>
      <c r="P18" s="405">
        <f>MAX(P19:P47)</f>
        <v>12.06</v>
      </c>
      <c r="R18" s="125" t="s">
        <v>282</v>
      </c>
      <c r="S18" s="115">
        <f>MIN(S20:S158)</f>
        <v>159</v>
      </c>
    </row>
    <row r="19" spans="1:19">
      <c r="A19" s="18" t="s">
        <v>292</v>
      </c>
      <c r="B19" s="125">
        <v>2015</v>
      </c>
      <c r="C19" s="52">
        <f t="shared" si="1"/>
        <v>23019.490021615933</v>
      </c>
      <c r="D19" s="52">
        <f t="shared" si="1"/>
        <v>25841.040304959977</v>
      </c>
      <c r="E19" s="52">
        <f t="shared" si="1"/>
        <v>27033.800923058941</v>
      </c>
      <c r="F19" s="52">
        <f t="shared" si="1"/>
        <v>30687.91391598995</v>
      </c>
      <c r="G19" s="620">
        <f>1.5*G17</f>
        <v>39147.825319857446</v>
      </c>
      <c r="H19" s="52">
        <v>0</v>
      </c>
      <c r="I19" s="52">
        <f>1.5*I17</f>
        <v>1033.1992638897</v>
      </c>
      <c r="J19" s="52">
        <f t="shared" ref="J19" si="5">1.5*J17</f>
        <v>1644.5878191271834</v>
      </c>
      <c r="K19" s="52">
        <f t="shared" ref="K19" si="6">1.5*K17</f>
        <v>5238.6678273061862</v>
      </c>
      <c r="L19" s="52">
        <f t="shared" ref="L19" si="7">1.5*L17</f>
        <v>17752.385517321956</v>
      </c>
      <c r="M19" s="125" t="s">
        <v>90</v>
      </c>
      <c r="O19" s="238">
        <v>39448</v>
      </c>
      <c r="P19" s="239">
        <v>10.15</v>
      </c>
      <c r="R19" s="150" t="s">
        <v>283</v>
      </c>
      <c r="S19" s="404">
        <f>MAX(S20:S158)</f>
        <v>405.4</v>
      </c>
    </row>
    <row r="20" spans="1:19">
      <c r="A20" s="18" t="s">
        <v>288</v>
      </c>
      <c r="B20" s="125">
        <v>2030</v>
      </c>
      <c r="C20" s="52">
        <f>14571 * (USD_BaseYear/USD_2007)</f>
        <v>15346.326681077289</v>
      </c>
      <c r="D20" s="52">
        <f>17265 * (USD_BaseYear/USD_2007)</f>
        <v>18183.675118303439</v>
      </c>
      <c r="E20" s="52">
        <f>17928 * (USD_BaseYear/USD_2007)</f>
        <v>18881.9535198925</v>
      </c>
      <c r="F20" s="52">
        <f>20527 * (USD_BaseYear/USD_2007)</f>
        <v>21619.246982531982</v>
      </c>
      <c r="G20" s="620">
        <f>26742 * (USD_BaseYear/USD_2007)</f>
        <v>28164.948741017699</v>
      </c>
      <c r="H20" s="52">
        <v>0</v>
      </c>
      <c r="I20" s="52">
        <f>908 * (USD_BaseYear/USD_2007)</f>
        <v>956.31491499678668</v>
      </c>
      <c r="J20" s="52">
        <f>1111 * (USD_BaseYear/USD_2007)</f>
        <v>1170.1165975346146</v>
      </c>
      <c r="K20" s="52">
        <f>3677 * (USD_BaseYear/USD_2007)</f>
        <v>3872.6541216334631</v>
      </c>
      <c r="L20" s="52">
        <f>12798 * (USD_BaseYear/USD_2007)</f>
        <v>13478.984892212418</v>
      </c>
      <c r="M20" s="125" t="s">
        <v>90</v>
      </c>
      <c r="O20" s="238">
        <v>39479</v>
      </c>
      <c r="P20" s="239">
        <v>10.19</v>
      </c>
      <c r="R20" s="240">
        <v>39454</v>
      </c>
      <c r="S20" s="115">
        <v>308.8</v>
      </c>
    </row>
    <row r="21" spans="1:19">
      <c r="A21" s="18" t="s">
        <v>289</v>
      </c>
      <c r="B21" s="125">
        <v>2030</v>
      </c>
      <c r="C21" s="52">
        <f>14571 * (USD_BaseYear/USD_2007)</f>
        <v>15346.326681077289</v>
      </c>
      <c r="D21" s="52">
        <f>15282 * (USD_BaseYear/USD_2007)</f>
        <v>16095.159175089091</v>
      </c>
      <c r="E21" s="52">
        <f>15550 * (USD_BaseYear/USD_2007)</f>
        <v>16377.419524449375</v>
      </c>
      <c r="F21" s="52">
        <f>16683 * (USD_BaseYear/USD_2007)</f>
        <v>17570.706747677745</v>
      </c>
      <c r="G21" s="620">
        <f>18038 * (USD_BaseYear/USD_2007)</f>
        <v>18997.806648361275</v>
      </c>
      <c r="H21" s="52">
        <v>0</v>
      </c>
      <c r="I21" s="52">
        <f>478 * (USD_BaseYear/USD_2007)</f>
        <v>503.43450370976217</v>
      </c>
      <c r="J21" s="52">
        <f>455 * (USD_BaseYear/USD_2007)</f>
        <v>479.21066775720038</v>
      </c>
      <c r="K21" s="52">
        <f>1569 * (USD_BaseYear/USD_2007)</f>
        <v>1652.4868960682361</v>
      </c>
      <c r="L21" s="52">
        <f>5907 * (USD_BaseYear/USD_2007)</f>
        <v>6221.3129987731481</v>
      </c>
      <c r="M21" s="125" t="s">
        <v>90</v>
      </c>
      <c r="O21" s="238">
        <v>39508</v>
      </c>
      <c r="P21" s="239">
        <v>10.47</v>
      </c>
      <c r="R21" s="240">
        <v>39461</v>
      </c>
      <c r="S21" s="115">
        <v>304.10000000000002</v>
      </c>
    </row>
    <row r="22" spans="1:19">
      <c r="A22" s="18" t="s">
        <v>290</v>
      </c>
      <c r="B22" s="125">
        <v>2030</v>
      </c>
      <c r="C22" s="52">
        <f>21857 * (USD_BaseYear/USD_2007)</f>
        <v>23020.016626745339</v>
      </c>
      <c r="D22" s="52">
        <f>25898 * (USD_BaseYear/USD_2007)</f>
        <v>27276.039282584559</v>
      </c>
      <c r="E22" s="52">
        <f>26892 * (USD_BaseYear/USD_2007)</f>
        <v>28322.930279838751</v>
      </c>
      <c r="F22" s="52">
        <f>30791 * (USD_BaseYear/USD_2007)</f>
        <v>32429.397078927377</v>
      </c>
      <c r="G22" s="620">
        <f>40113 * (USD_BaseYear/USD_2007)</f>
        <v>42247.423111526543</v>
      </c>
      <c r="H22" s="52">
        <v>0</v>
      </c>
      <c r="I22" s="52">
        <f>1.5*I20</f>
        <v>1434.47237249518</v>
      </c>
      <c r="J22" s="52">
        <f t="shared" ref="J22:L23" si="8">1.5*J20</f>
        <v>1755.1748963019218</v>
      </c>
      <c r="K22" s="52">
        <f t="shared" si="8"/>
        <v>5808.9811824501949</v>
      </c>
      <c r="L22" s="52">
        <f t="shared" si="8"/>
        <v>20218.477338318626</v>
      </c>
      <c r="M22" s="125" t="s">
        <v>90</v>
      </c>
      <c r="O22" s="238">
        <v>39539</v>
      </c>
      <c r="P22" s="239">
        <v>10.92</v>
      </c>
      <c r="R22" s="240">
        <v>39468</v>
      </c>
      <c r="S22" s="115">
        <v>299.10000000000002</v>
      </c>
    </row>
    <row r="23" spans="1:19">
      <c r="A23" s="200" t="s">
        <v>291</v>
      </c>
      <c r="B23" s="150">
        <v>2030</v>
      </c>
      <c r="C23" s="154">
        <f>21857 * (USD_BaseYear/USD_2007)</f>
        <v>23020.016626745339</v>
      </c>
      <c r="D23" s="154">
        <f>24890 * (USD_BaseYear/USD_2007)</f>
        <v>26214.403341707071</v>
      </c>
      <c r="E23" s="154">
        <f>25292 * (USD_BaseYear/USD_2007)</f>
        <v>26637.793865747499</v>
      </c>
      <c r="F23" s="154">
        <f>26991 * (USD_BaseYear/USD_2007)</f>
        <v>28427.198095460648</v>
      </c>
      <c r="G23" s="621">
        <f>29024 * (USD_BaseYear/USD_2007)</f>
        <v>30568.374551615347</v>
      </c>
      <c r="H23" s="154">
        <v>0</v>
      </c>
      <c r="I23" s="154">
        <f>1.5*I21</f>
        <v>755.15175556464328</v>
      </c>
      <c r="J23" s="154">
        <f t="shared" si="8"/>
        <v>718.8160016358006</v>
      </c>
      <c r="K23" s="154">
        <f t="shared" si="8"/>
        <v>2478.7303441023541</v>
      </c>
      <c r="L23" s="154">
        <f t="shared" si="8"/>
        <v>9331.9694981597222</v>
      </c>
      <c r="M23" s="150" t="s">
        <v>90</v>
      </c>
      <c r="O23" s="238">
        <v>39569</v>
      </c>
      <c r="P23" s="239">
        <v>11.39</v>
      </c>
      <c r="R23" s="240">
        <v>39475</v>
      </c>
      <c r="S23" s="115">
        <v>295.3</v>
      </c>
    </row>
    <row r="24" spans="1:19">
      <c r="A24" s="18" t="s">
        <v>69</v>
      </c>
      <c r="B24" s="125" t="s">
        <v>73</v>
      </c>
      <c r="C24" s="52">
        <v>0</v>
      </c>
      <c r="D24" s="52"/>
      <c r="E24" s="52">
        <f>C24 + 6300</f>
        <v>6300</v>
      </c>
      <c r="F24" s="52">
        <f>C24 + 11450</f>
        <v>11450</v>
      </c>
      <c r="G24" s="620"/>
      <c r="H24" s="52"/>
      <c r="I24" s="52"/>
      <c r="J24" s="52"/>
      <c r="K24" s="52"/>
      <c r="L24" s="52"/>
      <c r="M24" s="125" t="s">
        <v>231</v>
      </c>
      <c r="O24" s="238">
        <v>39600</v>
      </c>
      <c r="P24" s="239">
        <v>11.75</v>
      </c>
      <c r="R24" s="240">
        <v>39482</v>
      </c>
      <c r="S24" s="115">
        <v>296.60000000000002</v>
      </c>
    </row>
    <row r="25" spans="1:19">
      <c r="A25" s="18" t="s">
        <v>70</v>
      </c>
      <c r="B25" s="125">
        <v>2007</v>
      </c>
      <c r="C25" s="52">
        <v>0</v>
      </c>
      <c r="D25" s="52">
        <f>C25+3500</f>
        <v>3500</v>
      </c>
      <c r="E25" s="52"/>
      <c r="F25" s="52"/>
      <c r="G25" s="620"/>
      <c r="H25" s="52"/>
      <c r="I25" s="52"/>
      <c r="J25" s="52"/>
      <c r="K25" s="52"/>
      <c r="L25" s="52"/>
      <c r="M25" s="125" t="s">
        <v>231</v>
      </c>
      <c r="O25" s="238">
        <v>39630</v>
      </c>
      <c r="P25" s="239">
        <v>12.05</v>
      </c>
      <c r="R25" s="240">
        <v>39489</v>
      </c>
      <c r="S25" s="115">
        <v>294.7</v>
      </c>
    </row>
    <row r="26" spans="1:19">
      <c r="A26" s="18" t="s">
        <v>70</v>
      </c>
      <c r="B26" s="125">
        <v>2035</v>
      </c>
      <c r="C26" s="52">
        <v>0</v>
      </c>
      <c r="D26" s="52">
        <f>C26+1800</f>
        <v>1800</v>
      </c>
      <c r="E26" s="52"/>
      <c r="F26" s="52">
        <f>C26+4200</f>
        <v>4200</v>
      </c>
      <c r="G26" s="620"/>
      <c r="H26" s="52"/>
      <c r="I26" s="52"/>
      <c r="J26" s="52"/>
      <c r="K26" s="52"/>
      <c r="L26" s="52"/>
      <c r="M26" s="125" t="s">
        <v>231</v>
      </c>
      <c r="O26" s="238">
        <v>39661</v>
      </c>
      <c r="P26" s="239">
        <v>12.06</v>
      </c>
      <c r="R26" s="240">
        <v>39496</v>
      </c>
      <c r="S26" s="115">
        <v>303.5</v>
      </c>
    </row>
    <row r="27" spans="1:19">
      <c r="A27" s="18" t="s">
        <v>78</v>
      </c>
      <c r="B27" s="125">
        <v>2009</v>
      </c>
      <c r="C27" s="52">
        <v>0</v>
      </c>
      <c r="D27" s="52"/>
      <c r="E27" s="52"/>
      <c r="F27" s="52">
        <v>11300</v>
      </c>
      <c r="G27" s="620">
        <v>16900</v>
      </c>
      <c r="H27" s="52"/>
      <c r="I27" s="52"/>
      <c r="J27" s="52"/>
      <c r="K27" s="52"/>
      <c r="L27" s="52"/>
      <c r="M27" s="125" t="s">
        <v>231</v>
      </c>
      <c r="O27" s="238">
        <v>39692</v>
      </c>
      <c r="P27" s="239">
        <v>11.9</v>
      </c>
      <c r="R27" s="240">
        <v>39503</v>
      </c>
      <c r="S27" s="115">
        <v>311.5</v>
      </c>
    </row>
    <row r="28" spans="1:19">
      <c r="A28" s="18" t="s">
        <v>79</v>
      </c>
      <c r="B28" s="125">
        <v>2009</v>
      </c>
      <c r="C28" s="52">
        <v>0</v>
      </c>
      <c r="D28" s="52"/>
      <c r="E28" s="52"/>
      <c r="F28" s="52">
        <v>14800</v>
      </c>
      <c r="G28" s="620">
        <v>22300</v>
      </c>
      <c r="H28" s="52"/>
      <c r="I28" s="52"/>
      <c r="J28" s="52"/>
      <c r="K28" s="52"/>
      <c r="L28" s="52"/>
      <c r="M28" s="125" t="s">
        <v>231</v>
      </c>
      <c r="O28" s="238">
        <v>39722</v>
      </c>
      <c r="P28" s="239">
        <v>11.81</v>
      </c>
      <c r="R28" s="240">
        <v>39510</v>
      </c>
      <c r="S28" s="115">
        <v>313.7</v>
      </c>
    </row>
    <row r="29" spans="1:19">
      <c r="A29" s="18" t="s">
        <v>80</v>
      </c>
      <c r="B29" s="125">
        <v>2016</v>
      </c>
      <c r="C29" s="52">
        <v>0</v>
      </c>
      <c r="D29" s="52">
        <f>C29+2740</f>
        <v>2740</v>
      </c>
      <c r="E29" s="52">
        <f>C29+16140</f>
        <v>16140</v>
      </c>
      <c r="F29" s="52"/>
      <c r="G29" s="620"/>
      <c r="H29" s="52"/>
      <c r="I29" s="52"/>
      <c r="J29" s="52"/>
      <c r="K29" s="52"/>
      <c r="L29" s="52"/>
      <c r="M29" s="125" t="s">
        <v>231</v>
      </c>
      <c r="O29" s="238">
        <v>39753</v>
      </c>
      <c r="P29" s="239">
        <v>11.43</v>
      </c>
      <c r="R29" s="240">
        <v>39517</v>
      </c>
      <c r="S29" s="115">
        <v>320</v>
      </c>
    </row>
    <row r="30" spans="1:19">
      <c r="A30" s="18" t="s">
        <v>81</v>
      </c>
      <c r="B30" s="125">
        <v>2016</v>
      </c>
      <c r="C30" s="52">
        <v>0</v>
      </c>
      <c r="D30" s="52"/>
      <c r="E30" s="52">
        <v>16220</v>
      </c>
      <c r="F30" s="52"/>
      <c r="G30" s="620"/>
      <c r="H30" s="52"/>
      <c r="I30" s="52"/>
      <c r="J30" s="52"/>
      <c r="K30" s="52"/>
      <c r="L30" s="52"/>
      <c r="M30" s="125" t="s">
        <v>231</v>
      </c>
      <c r="O30" s="238">
        <v>39783</v>
      </c>
      <c r="P30" s="239">
        <v>10.9</v>
      </c>
      <c r="R30" s="240">
        <v>39524</v>
      </c>
      <c r="S30" s="115">
        <v>325.7</v>
      </c>
    </row>
    <row r="31" spans="1:19">
      <c r="A31" s="18" t="s">
        <v>715</v>
      </c>
      <c r="B31" s="835" t="s">
        <v>714</v>
      </c>
      <c r="C31" s="52">
        <v>0</v>
      </c>
      <c r="D31" s="52"/>
      <c r="E31" s="52"/>
      <c r="F31" s="52"/>
      <c r="G31" s="620">
        <f>10200 * (USD_BaseYear/USD_2007)</f>
        <v>10742.744639831744</v>
      </c>
      <c r="H31" s="52"/>
      <c r="I31" s="52"/>
      <c r="J31" s="52">
        <f>1500 * (USD_BaseYear/USD_2007)</f>
        <v>1579.8153882105507</v>
      </c>
      <c r="K31" s="52">
        <f>3000 * (USD_BaseYear/USD_2010)</f>
        <v>3000</v>
      </c>
      <c r="L31" s="52"/>
      <c r="M31" s="835" t="s">
        <v>731</v>
      </c>
      <c r="O31" s="238">
        <v>39814</v>
      </c>
      <c r="P31" s="239">
        <v>10.99</v>
      </c>
      <c r="R31" s="240">
        <v>39531</v>
      </c>
      <c r="S31" s="115">
        <v>322.39999999999998</v>
      </c>
    </row>
    <row r="32" spans="1:19">
      <c r="A32" s="18" t="s">
        <v>716</v>
      </c>
      <c r="B32" s="835" t="s">
        <v>714</v>
      </c>
      <c r="C32" s="52">
        <v>0</v>
      </c>
      <c r="D32" s="52"/>
      <c r="E32" s="52"/>
      <c r="F32" s="52"/>
      <c r="G32" s="620">
        <f>6900 * (USD_BaseYear/USD_2007)</f>
        <v>7267.1507857685328</v>
      </c>
      <c r="H32" s="52"/>
      <c r="I32" s="52"/>
      <c r="J32" s="52"/>
      <c r="K32" s="52"/>
      <c r="L32" s="52"/>
      <c r="M32" s="835" t="s">
        <v>731</v>
      </c>
      <c r="O32" s="238">
        <v>39845</v>
      </c>
      <c r="P32" s="239">
        <v>11.18</v>
      </c>
      <c r="R32" s="240">
        <v>39538</v>
      </c>
      <c r="S32" s="115">
        <v>325.89999999999998</v>
      </c>
    </row>
    <row r="33" spans="1:19">
      <c r="A33" s="18" t="s">
        <v>717</v>
      </c>
      <c r="B33" s="835" t="s">
        <v>714</v>
      </c>
      <c r="C33" s="52">
        <v>0</v>
      </c>
      <c r="D33" s="52"/>
      <c r="E33" s="52"/>
      <c r="F33" s="52"/>
      <c r="G33" s="620">
        <f>10200 * (USD_BaseYear/USD_2007)</f>
        <v>10742.744639831744</v>
      </c>
      <c r="H33" s="52"/>
      <c r="I33" s="52"/>
      <c r="J33" s="52"/>
      <c r="K33" s="52"/>
      <c r="L33" s="52"/>
      <c r="M33" s="835" t="s">
        <v>731</v>
      </c>
      <c r="O33" s="238">
        <v>39873</v>
      </c>
      <c r="P33" s="239">
        <v>11.33</v>
      </c>
      <c r="R33" s="240">
        <v>39545</v>
      </c>
      <c r="S33" s="115">
        <v>329.9</v>
      </c>
    </row>
    <row r="34" spans="1:19">
      <c r="A34" s="18" t="s">
        <v>718</v>
      </c>
      <c r="B34" s="835"/>
      <c r="C34" s="52"/>
      <c r="D34" s="52"/>
      <c r="E34" s="52"/>
      <c r="F34" s="52"/>
      <c r="G34" s="620">
        <f>27678 * (USD_BaseYear/USD_2000)</f>
        <v>34928.141388000004</v>
      </c>
      <c r="H34" s="52"/>
      <c r="I34" s="52"/>
      <c r="J34" s="52"/>
      <c r="K34" s="52"/>
      <c r="L34" s="52"/>
      <c r="M34" s="835" t="s">
        <v>731</v>
      </c>
      <c r="O34" s="238">
        <v>39904</v>
      </c>
      <c r="P34" s="239">
        <v>11.55</v>
      </c>
      <c r="R34" s="240">
        <v>39552</v>
      </c>
      <c r="S34" s="115">
        <v>335</v>
      </c>
    </row>
    <row r="35" spans="1:19">
      <c r="A35" s="18" t="s">
        <v>719</v>
      </c>
      <c r="B35" s="835">
        <v>2000</v>
      </c>
      <c r="C35" s="52"/>
      <c r="D35" s="52"/>
      <c r="E35" s="52"/>
      <c r="F35" s="52"/>
      <c r="G35" s="620"/>
      <c r="H35" s="52"/>
      <c r="I35" s="52"/>
      <c r="J35" s="52"/>
      <c r="K35" s="52"/>
      <c r="L35" s="52"/>
      <c r="M35" s="835" t="s">
        <v>731</v>
      </c>
      <c r="O35" s="238">
        <v>39934</v>
      </c>
      <c r="P35" s="239">
        <v>11.8</v>
      </c>
      <c r="R35" s="240">
        <v>39559</v>
      </c>
      <c r="S35" s="115">
        <v>346.7</v>
      </c>
    </row>
    <row r="36" spans="1:19">
      <c r="A36" s="18" t="s">
        <v>719</v>
      </c>
      <c r="B36" s="835">
        <v>2005</v>
      </c>
      <c r="C36" s="52"/>
      <c r="D36" s="52"/>
      <c r="E36" s="52"/>
      <c r="F36" s="52"/>
      <c r="G36" s="620"/>
      <c r="H36" s="52"/>
      <c r="I36" s="52"/>
      <c r="J36" s="52"/>
      <c r="K36" s="52"/>
      <c r="L36" s="52"/>
      <c r="M36" s="835" t="s">
        <v>731</v>
      </c>
      <c r="O36" s="238">
        <v>39965</v>
      </c>
      <c r="P36" s="239">
        <v>11.85</v>
      </c>
      <c r="R36" s="240">
        <v>39566</v>
      </c>
      <c r="S36" s="115">
        <v>356.6</v>
      </c>
    </row>
    <row r="37" spans="1:19">
      <c r="A37" s="18" t="s">
        <v>719</v>
      </c>
      <c r="B37" s="835">
        <v>2010</v>
      </c>
      <c r="C37" s="52"/>
      <c r="D37" s="52"/>
      <c r="E37" s="52"/>
      <c r="F37" s="52"/>
      <c r="G37" s="620"/>
      <c r="H37" s="52"/>
      <c r="I37" s="52"/>
      <c r="J37" s="52"/>
      <c r="K37" s="52"/>
      <c r="L37" s="52"/>
      <c r="M37" s="835" t="s">
        <v>731</v>
      </c>
      <c r="O37" s="238">
        <v>39995</v>
      </c>
      <c r="P37" s="239">
        <v>11.9</v>
      </c>
      <c r="R37" s="240">
        <v>39573</v>
      </c>
      <c r="S37" s="115">
        <v>357.1</v>
      </c>
    </row>
    <row r="38" spans="1:19">
      <c r="A38" s="18" t="s">
        <v>719</v>
      </c>
      <c r="B38" s="835">
        <v>2020</v>
      </c>
      <c r="C38" s="52"/>
      <c r="D38" s="52"/>
      <c r="E38" s="52"/>
      <c r="F38" s="52"/>
      <c r="G38" s="620"/>
      <c r="H38" s="52"/>
      <c r="I38" s="52"/>
      <c r="J38" s="52"/>
      <c r="K38" s="52"/>
      <c r="L38" s="52"/>
      <c r="M38" s="835" t="s">
        <v>731</v>
      </c>
      <c r="O38" s="238">
        <v>40026</v>
      </c>
      <c r="P38" s="239">
        <v>12</v>
      </c>
      <c r="R38" s="240">
        <v>39580</v>
      </c>
      <c r="S38" s="115">
        <v>369.4</v>
      </c>
    </row>
    <row r="39" spans="1:19">
      <c r="A39" s="18" t="s">
        <v>727</v>
      </c>
      <c r="B39" s="835">
        <v>2010</v>
      </c>
      <c r="C39" s="52">
        <f>2200 * (USD_BaseYear/USD_2010)</f>
        <v>2200</v>
      </c>
      <c r="D39" s="52"/>
      <c r="E39" s="52"/>
      <c r="F39" s="52"/>
      <c r="G39" s="620">
        <f>26700 * (USD_BaseYear/USD_2010)</f>
        <v>26700</v>
      </c>
      <c r="H39" s="52"/>
      <c r="I39" s="52"/>
      <c r="J39" s="52"/>
      <c r="K39" s="52"/>
      <c r="L39" s="52"/>
      <c r="M39" s="835" t="s">
        <v>731</v>
      </c>
      <c r="O39" s="238">
        <v>40057</v>
      </c>
      <c r="P39" s="239">
        <v>12</v>
      </c>
      <c r="R39" s="240">
        <v>39587</v>
      </c>
      <c r="S39" s="115">
        <v>376.2</v>
      </c>
    </row>
    <row r="40" spans="1:19">
      <c r="A40" s="18" t="s">
        <v>728</v>
      </c>
      <c r="B40" s="835">
        <v>2030</v>
      </c>
      <c r="C40" s="52">
        <f>2400 * (USD_BaseYear/USD_2010)</f>
        <v>2400</v>
      </c>
      <c r="D40" s="52"/>
      <c r="E40" s="52"/>
      <c r="F40" s="52"/>
      <c r="G40" s="620">
        <f>6200 * (USD_BaseYear/USD_2010)</f>
        <v>6200</v>
      </c>
      <c r="H40" s="52"/>
      <c r="I40" s="52"/>
      <c r="J40" s="52"/>
      <c r="K40" s="52"/>
      <c r="L40" s="52"/>
      <c r="M40" s="835" t="s">
        <v>731</v>
      </c>
      <c r="O40" s="238">
        <v>40087</v>
      </c>
      <c r="P40" s="239">
        <v>11.7</v>
      </c>
      <c r="R40" s="240">
        <v>39594</v>
      </c>
      <c r="S40" s="115">
        <v>391.3</v>
      </c>
    </row>
    <row r="41" spans="1:19">
      <c r="A41" s="18" t="s">
        <v>729</v>
      </c>
      <c r="B41" s="835">
        <v>2030</v>
      </c>
      <c r="C41" s="52">
        <f>2530 * (USD_BaseYear/USD_2010)</f>
        <v>2530</v>
      </c>
      <c r="D41" s="52"/>
      <c r="E41" s="52"/>
      <c r="F41" s="52"/>
      <c r="G41" s="620">
        <f>9530 * (USD_BaseYear/USD_2010)</f>
        <v>9530</v>
      </c>
      <c r="H41" s="52"/>
      <c r="I41" s="52"/>
      <c r="J41" s="52"/>
      <c r="K41" s="52"/>
      <c r="L41" s="52"/>
      <c r="M41" s="835" t="s">
        <v>731</v>
      </c>
      <c r="O41" s="238">
        <v>40118</v>
      </c>
      <c r="P41" s="239">
        <v>11.33</v>
      </c>
      <c r="R41" s="240">
        <v>39601</v>
      </c>
      <c r="S41" s="115">
        <v>393.2</v>
      </c>
    </row>
    <row r="42" spans="1:19">
      <c r="A42" s="18" t="s">
        <v>730</v>
      </c>
      <c r="B42" s="835">
        <v>2030</v>
      </c>
      <c r="C42" s="52">
        <f>2465 * (USD_BaseYear/USD_2010)</f>
        <v>2465</v>
      </c>
      <c r="D42" s="52"/>
      <c r="E42" s="52"/>
      <c r="F42" s="52"/>
      <c r="G42" s="620">
        <f>7865 * (USD_BaseYear/USD_2010)</f>
        <v>7865</v>
      </c>
      <c r="H42" s="52"/>
      <c r="I42" s="52"/>
      <c r="J42" s="52"/>
      <c r="K42" s="52"/>
      <c r="L42" s="52"/>
      <c r="M42" s="835" t="s">
        <v>731</v>
      </c>
      <c r="O42" s="238">
        <v>40148</v>
      </c>
      <c r="P42" s="239">
        <v>10.93</v>
      </c>
      <c r="R42" s="240">
        <v>39608</v>
      </c>
      <c r="S42" s="115">
        <v>397.9</v>
      </c>
    </row>
    <row r="43" spans="1:19">
      <c r="A43" s="18" t="s">
        <v>720</v>
      </c>
      <c r="B43" s="835" t="s">
        <v>714</v>
      </c>
      <c r="C43" s="52"/>
      <c r="D43" s="52"/>
      <c r="E43" s="52"/>
      <c r="F43" s="52"/>
      <c r="G43" s="620"/>
      <c r="H43" s="52"/>
      <c r="I43" s="52"/>
      <c r="J43" s="52">
        <f>3966 * (USD_BaseYear/USD_2006)</f>
        <v>4289.5521238300935</v>
      </c>
      <c r="K43" s="52"/>
      <c r="L43" s="52"/>
      <c r="M43" s="835" t="s">
        <v>731</v>
      </c>
      <c r="O43" s="238">
        <v>40179</v>
      </c>
      <c r="P43" s="239">
        <v>10.54</v>
      </c>
      <c r="R43" s="240">
        <v>39615</v>
      </c>
      <c r="S43" s="115">
        <v>400.7</v>
      </c>
    </row>
    <row r="44" spans="1:19">
      <c r="A44" s="18" t="s">
        <v>71</v>
      </c>
      <c r="B44" s="125">
        <v>2015</v>
      </c>
      <c r="C44" s="52">
        <v>0</v>
      </c>
      <c r="D44" s="52">
        <f>C44+5200</f>
        <v>5200</v>
      </c>
      <c r="E44" s="52">
        <f>C44+14200</f>
        <v>14200</v>
      </c>
      <c r="F44" s="52"/>
      <c r="G44" s="620"/>
      <c r="H44" s="52"/>
      <c r="I44" s="52"/>
      <c r="J44" s="52"/>
      <c r="K44" s="52"/>
      <c r="L44" s="52"/>
      <c r="M44" s="125" t="s">
        <v>231</v>
      </c>
      <c r="O44" s="238">
        <v>40210</v>
      </c>
      <c r="P44" s="239">
        <v>10.93</v>
      </c>
      <c r="R44" s="240">
        <v>39622</v>
      </c>
      <c r="S44" s="115">
        <v>400.2</v>
      </c>
    </row>
    <row r="45" spans="1:19">
      <c r="A45" s="18" t="s">
        <v>71</v>
      </c>
      <c r="B45" s="125">
        <v>2020</v>
      </c>
      <c r="C45" s="52">
        <v>0</v>
      </c>
      <c r="D45" s="52">
        <f>C45+4500</f>
        <v>4500</v>
      </c>
      <c r="E45" s="52">
        <f>C45+12200</f>
        <v>12200</v>
      </c>
      <c r="G45" s="374"/>
      <c r="H45" s="52"/>
      <c r="I45" s="52"/>
      <c r="J45" s="52"/>
      <c r="M45" s="125" t="s">
        <v>231</v>
      </c>
      <c r="O45" s="238">
        <v>40238</v>
      </c>
      <c r="P45" s="239">
        <v>11.2</v>
      </c>
      <c r="R45" s="240">
        <v>39629</v>
      </c>
      <c r="S45" s="115">
        <v>402.7</v>
      </c>
    </row>
    <row r="46" spans="1:19">
      <c r="A46" s="134" t="str">
        <f>SUMMARY!B21</f>
        <v>ANL09 Lit Review 2015 retail</v>
      </c>
      <c r="B46" s="44">
        <f t="array" ref="B46">SUM(IF($A46=$A16:$A45,B16:B45))</f>
        <v>2015</v>
      </c>
      <c r="C46" s="133">
        <f t="array" ref="C46">SUM(IF($A46=$A16:$A45,C16:C45))</f>
        <v>23019.490021615933</v>
      </c>
      <c r="D46" s="133">
        <f t="array" ref="D46">SUM(IF($A46=$A16:$A45,D16:D45))</f>
        <v>26867.920307296838</v>
      </c>
      <c r="E46" s="133">
        <f t="array" ref="E46">SUM(IF($A46=$A16:$A45,E16:E45))</f>
        <v>28297.653233627381</v>
      </c>
      <c r="F46" s="133">
        <f t="array" ref="F46">SUM(IF($A46=$A16:$A45,F16:F45))</f>
        <v>34458.933247648529</v>
      </c>
      <c r="G46" s="622">
        <f t="array" ref="G46">SUM(IF($A46=$A16:$A45,G16:G45))</f>
        <v>52449.870888590282</v>
      </c>
      <c r="H46" s="133">
        <f t="array" ref="H46">SUM(IF($A46=$A16:$A45,H16:H45))</f>
        <v>0</v>
      </c>
      <c r="I46" s="133">
        <f t="array" ref="I46">SUM(IF($A46=$A16:$A45,I16:I45))</f>
        <v>2067.978343167611</v>
      </c>
      <c r="J46" s="133">
        <f t="array" ref="J46">SUM(IF($A46=$A16:$A45,J16:J45))</f>
        <v>2631.9724367587778</v>
      </c>
      <c r="K46" s="133">
        <f t="array" ref="K46">SUM(IF($A46=$A16:$A45,K16:K45))</f>
        <v>8730.0598352515044</v>
      </c>
      <c r="L46" s="133">
        <f t="array" ref="L46">SUM(IF($A46=$A16:$A45,L16:L45))</f>
        <v>31953.346041946596</v>
      </c>
      <c r="M46" s="133"/>
      <c r="O46" s="238">
        <v>40269</v>
      </c>
      <c r="P46" s="239">
        <v>11.75</v>
      </c>
      <c r="R46" s="240">
        <v>39636</v>
      </c>
      <c r="S46" s="115">
        <v>405.1</v>
      </c>
    </row>
    <row r="47" spans="1:19">
      <c r="O47" s="238">
        <v>40299</v>
      </c>
      <c r="P47" s="239">
        <v>11.96</v>
      </c>
      <c r="R47" s="240">
        <v>39643</v>
      </c>
      <c r="S47" s="115">
        <v>405.4</v>
      </c>
    </row>
    <row r="48" spans="1:19">
      <c r="G48" s="241"/>
      <c r="O48" s="9" t="str">
        <f>SUMMARY!B23</f>
        <v>Average since 2008</v>
      </c>
      <c r="P48" s="237">
        <f t="array" ref="P48">SUM(IF(O48=O16:O47,P16:P47))/100</f>
        <v>0.11377931034482761</v>
      </c>
      <c r="R48" s="240">
        <v>39650</v>
      </c>
      <c r="S48" s="115">
        <v>400.5</v>
      </c>
    </row>
    <row r="49" spans="3:19">
      <c r="G49" s="241"/>
      <c r="R49" s="240">
        <v>39657</v>
      </c>
      <c r="S49" s="115">
        <v>389.6</v>
      </c>
    </row>
    <row r="50" spans="3:19">
      <c r="G50" s="241"/>
      <c r="R50" s="240">
        <v>39664</v>
      </c>
      <c r="S50" s="115">
        <v>382.8</v>
      </c>
    </row>
    <row r="51" spans="3:19">
      <c r="C51" s="623"/>
      <c r="F51" s="623"/>
      <c r="G51" s="241"/>
      <c r="R51" s="240">
        <v>39671</v>
      </c>
      <c r="S51" s="115">
        <v>376.4</v>
      </c>
    </row>
    <row r="52" spans="3:19">
      <c r="F52" s="624"/>
      <c r="G52" s="241"/>
      <c r="R52" s="240">
        <v>39678</v>
      </c>
      <c r="S52" s="115">
        <v>370.6</v>
      </c>
    </row>
    <row r="53" spans="3:19">
      <c r="G53" s="241"/>
      <c r="R53" s="240">
        <v>39685</v>
      </c>
      <c r="S53" s="115">
        <v>366</v>
      </c>
    </row>
    <row r="54" spans="3:19">
      <c r="G54" s="241"/>
      <c r="R54" s="240">
        <v>39692</v>
      </c>
      <c r="S54" s="115">
        <v>366.7</v>
      </c>
    </row>
    <row r="55" spans="3:19">
      <c r="G55" s="241"/>
      <c r="R55" s="240">
        <v>39699</v>
      </c>
      <c r="S55" s="115">
        <v>363.7</v>
      </c>
    </row>
    <row r="56" spans="3:19">
      <c r="G56" s="241"/>
      <c r="R56" s="240">
        <v>39706</v>
      </c>
      <c r="S56" s="115">
        <v>386.7</v>
      </c>
    </row>
    <row r="57" spans="3:19">
      <c r="R57" s="240">
        <v>39713</v>
      </c>
      <c r="S57" s="115">
        <v>373.2</v>
      </c>
    </row>
    <row r="58" spans="3:19">
      <c r="D58" s="241"/>
      <c r="R58" s="240">
        <v>39720</v>
      </c>
      <c r="S58" s="115">
        <v>364.4</v>
      </c>
    </row>
    <row r="59" spans="3:19">
      <c r="R59" s="240">
        <v>39727</v>
      </c>
      <c r="S59" s="115">
        <v>348.5</v>
      </c>
    </row>
    <row r="60" spans="3:19">
      <c r="R60" s="240">
        <v>39734</v>
      </c>
      <c r="S60" s="115">
        <v>310.89999999999998</v>
      </c>
    </row>
    <row r="61" spans="3:19">
      <c r="R61" s="240">
        <v>39741</v>
      </c>
      <c r="S61" s="115">
        <v>285.5</v>
      </c>
    </row>
    <row r="62" spans="3:19">
      <c r="R62" s="240">
        <v>39748</v>
      </c>
      <c r="S62" s="115">
        <v>258.89999999999998</v>
      </c>
    </row>
    <row r="63" spans="3:19">
      <c r="R63" s="240">
        <v>39755</v>
      </c>
      <c r="S63" s="115">
        <v>234</v>
      </c>
    </row>
    <row r="64" spans="3:19">
      <c r="R64" s="240">
        <v>39762</v>
      </c>
      <c r="S64" s="115">
        <v>217</v>
      </c>
    </row>
    <row r="65" spans="18:19">
      <c r="R65" s="240">
        <v>39769</v>
      </c>
      <c r="S65" s="115">
        <v>202.7</v>
      </c>
    </row>
    <row r="66" spans="18:19">
      <c r="R66" s="240">
        <v>39776</v>
      </c>
      <c r="S66" s="115">
        <v>185.7</v>
      </c>
    </row>
    <row r="67" spans="18:19">
      <c r="R67" s="240">
        <v>39783</v>
      </c>
      <c r="S67" s="115">
        <v>179</v>
      </c>
    </row>
    <row r="68" spans="18:19">
      <c r="R68" s="240">
        <v>39790</v>
      </c>
      <c r="S68" s="115">
        <v>168.1</v>
      </c>
    </row>
    <row r="69" spans="18:19">
      <c r="R69" s="240">
        <v>39797</v>
      </c>
      <c r="S69" s="115">
        <v>164.8</v>
      </c>
    </row>
    <row r="70" spans="18:19">
      <c r="R70" s="240">
        <v>39804</v>
      </c>
      <c r="S70" s="115">
        <v>163.5</v>
      </c>
    </row>
    <row r="71" spans="18:19">
      <c r="R71" s="240">
        <v>39811</v>
      </c>
      <c r="S71" s="115">
        <v>159</v>
      </c>
    </row>
    <row r="72" spans="18:19">
      <c r="R72" s="240">
        <v>39818</v>
      </c>
      <c r="S72" s="115">
        <v>167.2</v>
      </c>
    </row>
    <row r="73" spans="18:19">
      <c r="R73" s="240">
        <v>39825</v>
      </c>
      <c r="S73" s="115">
        <v>177.2</v>
      </c>
    </row>
    <row r="74" spans="18:19">
      <c r="R74" s="240">
        <v>39832</v>
      </c>
      <c r="S74" s="115">
        <v>183.2</v>
      </c>
    </row>
    <row r="75" spans="18:19">
      <c r="R75" s="240">
        <v>39839</v>
      </c>
      <c r="S75" s="115">
        <v>181.3</v>
      </c>
    </row>
    <row r="76" spans="18:19">
      <c r="R76" s="240">
        <v>39846</v>
      </c>
      <c r="S76" s="115">
        <v>187.1</v>
      </c>
    </row>
    <row r="77" spans="18:19">
      <c r="R77" s="240">
        <v>39853</v>
      </c>
      <c r="S77" s="115">
        <v>189.7</v>
      </c>
    </row>
    <row r="78" spans="18:19">
      <c r="R78" s="240">
        <v>39860</v>
      </c>
      <c r="S78" s="115">
        <v>193.1</v>
      </c>
    </row>
    <row r="79" spans="18:19">
      <c r="R79" s="240">
        <v>39867</v>
      </c>
      <c r="S79" s="115">
        <v>186.8</v>
      </c>
    </row>
    <row r="80" spans="18:19">
      <c r="R80" s="240">
        <v>39874</v>
      </c>
      <c r="S80" s="115">
        <v>191</v>
      </c>
    </row>
    <row r="81" spans="7:19">
      <c r="R81" s="240">
        <v>39881</v>
      </c>
      <c r="S81" s="115">
        <v>191.8</v>
      </c>
    </row>
    <row r="82" spans="7:19">
      <c r="R82" s="240">
        <v>39888</v>
      </c>
      <c r="S82" s="115">
        <v>188.5</v>
      </c>
    </row>
    <row r="83" spans="7:19">
      <c r="R83" s="240">
        <v>39895</v>
      </c>
      <c r="S83" s="115">
        <v>194.4</v>
      </c>
    </row>
    <row r="84" spans="7:19">
      <c r="G84" s="125"/>
      <c r="H84" s="617"/>
      <c r="I84" s="617"/>
      <c r="J84" s="617"/>
      <c r="K84" s="617"/>
      <c r="L84" s="617"/>
      <c r="M84"/>
      <c r="R84" s="240">
        <v>39902</v>
      </c>
      <c r="S84" s="115">
        <v>203</v>
      </c>
    </row>
    <row r="85" spans="7:19">
      <c r="R85" s="240">
        <v>39909</v>
      </c>
      <c r="S85" s="115">
        <v>201.1</v>
      </c>
    </row>
    <row r="86" spans="7:19">
      <c r="R86" s="240">
        <v>39916</v>
      </c>
      <c r="S86" s="115">
        <v>202.5</v>
      </c>
    </row>
    <row r="87" spans="7:19">
      <c r="R87" s="240">
        <v>39923</v>
      </c>
      <c r="S87" s="115">
        <v>203.1</v>
      </c>
    </row>
    <row r="88" spans="7:19">
      <c r="R88" s="240">
        <v>39930</v>
      </c>
      <c r="S88" s="115">
        <v>201.6</v>
      </c>
    </row>
    <row r="89" spans="7:19">
      <c r="R89" s="240">
        <v>39937</v>
      </c>
      <c r="S89" s="115">
        <v>204.5</v>
      </c>
    </row>
    <row r="90" spans="7:19">
      <c r="R90" s="240">
        <v>39944</v>
      </c>
      <c r="S90" s="115">
        <v>221.8</v>
      </c>
    </row>
    <row r="91" spans="7:19">
      <c r="R91" s="240">
        <v>39951</v>
      </c>
      <c r="S91" s="115">
        <v>228.1</v>
      </c>
    </row>
    <row r="92" spans="7:19">
      <c r="R92" s="240">
        <v>39958</v>
      </c>
      <c r="S92" s="115">
        <v>241.4</v>
      </c>
    </row>
    <row r="93" spans="7:19">
      <c r="R93" s="240">
        <v>39965</v>
      </c>
      <c r="S93" s="115">
        <v>250.2</v>
      </c>
    </row>
    <row r="94" spans="7:19">
      <c r="R94" s="240">
        <v>39972</v>
      </c>
      <c r="S94" s="115">
        <v>260</v>
      </c>
    </row>
    <row r="95" spans="7:19">
      <c r="R95" s="240">
        <v>39979</v>
      </c>
      <c r="S95" s="115">
        <v>263.89999999999998</v>
      </c>
    </row>
    <row r="96" spans="7:19">
      <c r="R96" s="240">
        <v>39986</v>
      </c>
      <c r="S96" s="115">
        <v>265</v>
      </c>
    </row>
    <row r="97" spans="18:19">
      <c r="R97" s="240">
        <v>39993</v>
      </c>
      <c r="S97" s="115">
        <v>259.3</v>
      </c>
    </row>
    <row r="98" spans="18:19">
      <c r="R98" s="240">
        <v>40000</v>
      </c>
      <c r="S98" s="115">
        <v>256.3</v>
      </c>
    </row>
    <row r="99" spans="18:19">
      <c r="R99" s="240">
        <v>40007</v>
      </c>
      <c r="S99" s="115">
        <v>247.9</v>
      </c>
    </row>
    <row r="100" spans="18:19">
      <c r="R100" s="240">
        <v>40014</v>
      </c>
      <c r="S100" s="115">
        <v>241.1</v>
      </c>
    </row>
    <row r="101" spans="18:19">
      <c r="R101" s="240">
        <v>40021</v>
      </c>
      <c r="S101" s="115">
        <v>246</v>
      </c>
    </row>
    <row r="102" spans="18:19">
      <c r="R102" s="240">
        <v>40028</v>
      </c>
      <c r="S102" s="115">
        <v>251.1</v>
      </c>
    </row>
    <row r="103" spans="18:19">
      <c r="R103" s="240">
        <v>40035</v>
      </c>
      <c r="S103" s="115">
        <v>259.60000000000002</v>
      </c>
    </row>
    <row r="104" spans="18:19">
      <c r="R104" s="240">
        <v>40042</v>
      </c>
      <c r="S104" s="115">
        <v>258</v>
      </c>
    </row>
    <row r="105" spans="18:19">
      <c r="R105" s="240">
        <v>40049</v>
      </c>
      <c r="S105" s="115">
        <v>257.2</v>
      </c>
    </row>
    <row r="106" spans="18:19">
      <c r="R106" s="240">
        <v>40056</v>
      </c>
      <c r="S106" s="115">
        <v>255.3</v>
      </c>
    </row>
    <row r="107" spans="18:19">
      <c r="R107" s="240">
        <v>40063</v>
      </c>
      <c r="S107" s="115">
        <v>251.9</v>
      </c>
    </row>
    <row r="108" spans="18:19">
      <c r="R108" s="240">
        <v>40070</v>
      </c>
      <c r="S108" s="115">
        <v>249.9</v>
      </c>
    </row>
    <row r="109" spans="18:19">
      <c r="R109" s="240">
        <v>40077</v>
      </c>
      <c r="S109" s="115">
        <v>247.7</v>
      </c>
    </row>
    <row r="110" spans="18:19">
      <c r="R110" s="240">
        <v>40084</v>
      </c>
      <c r="S110" s="115">
        <v>242.5</v>
      </c>
    </row>
    <row r="111" spans="18:19">
      <c r="R111" s="240">
        <v>40091</v>
      </c>
      <c r="S111" s="115">
        <v>239.6</v>
      </c>
    </row>
    <row r="112" spans="18:19">
      <c r="R112" s="240">
        <v>40098</v>
      </c>
      <c r="S112" s="115">
        <v>243.2</v>
      </c>
    </row>
    <row r="113" spans="18:19">
      <c r="R113" s="240">
        <v>40105</v>
      </c>
      <c r="S113" s="115">
        <v>253.2</v>
      </c>
    </row>
    <row r="114" spans="18:19">
      <c r="R114" s="240">
        <v>40112</v>
      </c>
      <c r="S114" s="115">
        <v>264.10000000000002</v>
      </c>
    </row>
    <row r="115" spans="18:19">
      <c r="R115" s="240">
        <v>40119</v>
      </c>
      <c r="S115" s="115">
        <v>266</v>
      </c>
    </row>
    <row r="116" spans="18:19">
      <c r="R116" s="240">
        <v>40126</v>
      </c>
      <c r="S116" s="115">
        <v>262.7</v>
      </c>
    </row>
    <row r="117" spans="18:19">
      <c r="R117" s="240">
        <v>40133</v>
      </c>
      <c r="S117" s="115">
        <v>258.5</v>
      </c>
    </row>
    <row r="118" spans="18:19">
      <c r="R118" s="240">
        <v>40140</v>
      </c>
      <c r="S118" s="115">
        <v>260.3</v>
      </c>
    </row>
    <row r="119" spans="18:19">
      <c r="R119" s="240">
        <v>40147</v>
      </c>
      <c r="S119" s="115">
        <v>259.39999999999998</v>
      </c>
    </row>
    <row r="120" spans="18:19">
      <c r="R120" s="240">
        <v>40154</v>
      </c>
      <c r="S120" s="115">
        <v>260.10000000000002</v>
      </c>
    </row>
    <row r="121" spans="18:19">
      <c r="R121" s="240">
        <v>40161</v>
      </c>
      <c r="S121" s="115">
        <v>256</v>
      </c>
    </row>
    <row r="122" spans="18:19">
      <c r="R122" s="240">
        <v>40168</v>
      </c>
      <c r="S122" s="115">
        <v>254.6</v>
      </c>
    </row>
    <row r="123" spans="18:19">
      <c r="R123" s="240">
        <v>40175</v>
      </c>
      <c r="S123" s="115">
        <v>256.39999999999998</v>
      </c>
    </row>
    <row r="124" spans="18:19">
      <c r="R124" s="240">
        <v>40182</v>
      </c>
      <c r="S124" s="115">
        <v>262.7</v>
      </c>
    </row>
    <row r="125" spans="18:19">
      <c r="R125" s="240">
        <v>40189</v>
      </c>
      <c r="S125" s="115">
        <v>271.7</v>
      </c>
    </row>
    <row r="126" spans="18:19">
      <c r="R126" s="240">
        <v>40196</v>
      </c>
      <c r="S126" s="115">
        <v>270.3</v>
      </c>
    </row>
    <row r="127" spans="18:19">
      <c r="R127" s="240">
        <v>40203</v>
      </c>
      <c r="S127" s="115">
        <v>266.60000000000002</v>
      </c>
    </row>
    <row r="128" spans="18:19">
      <c r="R128" s="240">
        <v>40210</v>
      </c>
      <c r="S128" s="115">
        <v>261.8</v>
      </c>
    </row>
    <row r="129" spans="18:19">
      <c r="R129" s="240">
        <v>40217</v>
      </c>
      <c r="S129" s="115">
        <v>261.10000000000002</v>
      </c>
    </row>
    <row r="130" spans="18:19">
      <c r="R130" s="240">
        <v>40224</v>
      </c>
      <c r="S130" s="115">
        <v>256.3</v>
      </c>
    </row>
    <row r="131" spans="18:19">
      <c r="R131" s="240">
        <v>40231</v>
      </c>
      <c r="S131" s="115">
        <v>262.10000000000002</v>
      </c>
    </row>
    <row r="132" spans="18:19">
      <c r="R132" s="240">
        <v>40238</v>
      </c>
      <c r="S132" s="115">
        <v>267.10000000000002</v>
      </c>
    </row>
    <row r="133" spans="18:19">
      <c r="R133" s="240">
        <v>40245</v>
      </c>
      <c r="S133" s="115">
        <v>272.10000000000002</v>
      </c>
    </row>
    <row r="134" spans="18:19">
      <c r="R134" s="240">
        <v>40252</v>
      </c>
      <c r="S134" s="115">
        <v>276</v>
      </c>
    </row>
    <row r="135" spans="18:19">
      <c r="R135" s="240">
        <v>40259</v>
      </c>
      <c r="S135" s="115">
        <v>279.2</v>
      </c>
    </row>
    <row r="136" spans="18:19">
      <c r="R136" s="240">
        <v>40266</v>
      </c>
      <c r="S136" s="115">
        <v>276.5</v>
      </c>
    </row>
    <row r="137" spans="18:19">
      <c r="R137" s="240">
        <v>40273</v>
      </c>
      <c r="S137" s="115">
        <v>279.5</v>
      </c>
    </row>
    <row r="138" spans="18:19">
      <c r="R138" s="240">
        <v>40280</v>
      </c>
      <c r="S138" s="115">
        <v>282.89999999999998</v>
      </c>
    </row>
    <row r="139" spans="18:19">
      <c r="R139" s="240">
        <v>40287</v>
      </c>
      <c r="S139" s="115">
        <v>283.10000000000002</v>
      </c>
    </row>
    <row r="140" spans="18:19">
      <c r="R140" s="240">
        <v>40294</v>
      </c>
      <c r="S140" s="115">
        <v>281.5</v>
      </c>
    </row>
    <row r="141" spans="18:19">
      <c r="R141" s="240">
        <v>40301</v>
      </c>
      <c r="S141" s="115">
        <v>286.39999999999998</v>
      </c>
    </row>
    <row r="142" spans="18:19">
      <c r="R142" s="240">
        <v>40308</v>
      </c>
      <c r="S142" s="115">
        <v>287</v>
      </c>
    </row>
    <row r="143" spans="18:19">
      <c r="R143" s="240">
        <v>40315</v>
      </c>
      <c r="S143" s="115">
        <v>282.3</v>
      </c>
    </row>
    <row r="144" spans="18:19">
      <c r="R144" s="240">
        <v>40322</v>
      </c>
      <c r="S144" s="115">
        <v>274.10000000000002</v>
      </c>
    </row>
    <row r="145" spans="18:19">
      <c r="R145" s="240">
        <v>40329</v>
      </c>
      <c r="S145" s="115">
        <v>267.89999999999998</v>
      </c>
    </row>
    <row r="146" spans="18:19">
      <c r="R146" s="240">
        <v>40336</v>
      </c>
      <c r="S146" s="115">
        <v>267.39999999999998</v>
      </c>
    </row>
    <row r="147" spans="18:19">
      <c r="R147" s="240">
        <v>40343</v>
      </c>
      <c r="S147" s="115">
        <v>265.2</v>
      </c>
    </row>
    <row r="148" spans="18:19">
      <c r="R148" s="240">
        <v>40350</v>
      </c>
      <c r="S148" s="115">
        <v>269.60000000000002</v>
      </c>
    </row>
    <row r="149" spans="18:19">
      <c r="R149" s="240">
        <v>40357</v>
      </c>
      <c r="S149" s="115">
        <v>271.2</v>
      </c>
    </row>
    <row r="150" spans="18:19">
      <c r="R150" s="240">
        <v>40364</v>
      </c>
      <c r="S150" s="115">
        <v>267.60000000000002</v>
      </c>
    </row>
    <row r="151" spans="18:19">
      <c r="R151" s="240">
        <v>40371</v>
      </c>
      <c r="S151" s="115">
        <v>266.60000000000002</v>
      </c>
    </row>
    <row r="152" spans="18:19">
      <c r="R152" s="240">
        <v>40378</v>
      </c>
      <c r="S152" s="115">
        <v>267.2</v>
      </c>
    </row>
    <row r="153" spans="18:19">
      <c r="R153" s="240">
        <v>40385</v>
      </c>
      <c r="S153" s="115">
        <v>270.3</v>
      </c>
    </row>
    <row r="154" spans="18:19">
      <c r="R154" s="240">
        <v>40392</v>
      </c>
      <c r="S154" s="115">
        <v>268.7</v>
      </c>
    </row>
    <row r="155" spans="18:19">
      <c r="R155" s="240">
        <v>40399</v>
      </c>
      <c r="S155" s="115">
        <v>274</v>
      </c>
    </row>
    <row r="156" spans="18:19">
      <c r="R156" s="240">
        <v>40406</v>
      </c>
      <c r="S156" s="115">
        <v>269.60000000000002</v>
      </c>
    </row>
    <row r="157" spans="18:19">
      <c r="R157" s="240">
        <v>40413</v>
      </c>
      <c r="S157" s="115">
        <v>265.3</v>
      </c>
    </row>
    <row r="158" spans="18:19">
      <c r="R158" s="240">
        <v>40420</v>
      </c>
      <c r="S158" s="115">
        <v>264</v>
      </c>
    </row>
    <row r="159" spans="18:19">
      <c r="R159" s="9" t="str">
        <f>SUMMARY!B22</f>
        <v>Average since 2008</v>
      </c>
      <c r="S159" s="237">
        <f t="array" ref="S159">SUM(IF(R159=R16:R158,S16:S158))/100</f>
        <v>2.7508776978417249</v>
      </c>
    </row>
  </sheetData>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dimension ref="A1:F45"/>
  <sheetViews>
    <sheetView workbookViewId="0"/>
  </sheetViews>
  <sheetFormatPr defaultRowHeight="15"/>
  <cols>
    <col min="1" max="1" width="37.5703125" bestFit="1" customWidth="1"/>
    <col min="2" max="2" width="12.5703125" bestFit="1" customWidth="1"/>
    <col min="3" max="4" width="9.85546875" bestFit="1" customWidth="1"/>
    <col min="5" max="5" width="10.5703125" bestFit="1" customWidth="1"/>
  </cols>
  <sheetData>
    <row r="1" spans="1:6" ht="28.5">
      <c r="A1" s="95" t="s">
        <v>646</v>
      </c>
    </row>
    <row r="2" spans="1:6" ht="16.5" customHeight="1">
      <c r="A2" s="95"/>
    </row>
    <row r="3" spans="1:6">
      <c r="A3" s="808" t="s">
        <v>646</v>
      </c>
      <c r="B3" s="809"/>
      <c r="D3" s="111"/>
    </row>
    <row r="4" spans="1:6">
      <c r="A4" s="484" t="s">
        <v>8</v>
      </c>
      <c r="B4" s="806">
        <f>B30</f>
        <v>4379.9559833068452</v>
      </c>
    </row>
    <row r="5" spans="1:6">
      <c r="A5" s="484" t="s">
        <v>9</v>
      </c>
      <c r="B5" s="806">
        <f>C30</f>
        <v>3961.7852942126851</v>
      </c>
    </row>
    <row r="6" spans="1:6">
      <c r="A6" s="484" t="s">
        <v>10</v>
      </c>
      <c r="B6" s="806">
        <f>D30</f>
        <v>3234.9494096753001</v>
      </c>
    </row>
    <row r="7" spans="1:6">
      <c r="A7" s="484" t="s">
        <v>11</v>
      </c>
      <c r="B7" s="806">
        <f>D30</f>
        <v>3234.9494096753001</v>
      </c>
    </row>
    <row r="8" spans="1:6">
      <c r="A8" s="484" t="s">
        <v>24</v>
      </c>
      <c r="B8" s="806">
        <f>E30</f>
        <v>2232.3495903035837</v>
      </c>
    </row>
    <row r="11" spans="1:6">
      <c r="A11" s="18" t="s">
        <v>651</v>
      </c>
    </row>
    <row r="12" spans="1:6">
      <c r="A12" s="218"/>
      <c r="B12" s="262" t="s">
        <v>631</v>
      </c>
      <c r="C12" s="262" t="s">
        <v>9</v>
      </c>
      <c r="D12" s="262" t="s">
        <v>632</v>
      </c>
      <c r="E12" s="262" t="s">
        <v>639</v>
      </c>
      <c r="F12" s="790" t="s">
        <v>640</v>
      </c>
    </row>
    <row r="13" spans="1:6">
      <c r="A13" t="s">
        <v>633</v>
      </c>
      <c r="B13" s="791">
        <f>2365.92 * USD_BaseYear/USD_2010</f>
        <v>2365.92</v>
      </c>
      <c r="C13" s="791">
        <f>2249.92 * USD_BaseYear/USD_2010</f>
        <v>2249.92</v>
      </c>
      <c r="D13" s="791">
        <f>1474.08 * USD_BaseYear/USD_2010</f>
        <v>1474.08</v>
      </c>
      <c r="E13" s="791">
        <f>0 * USD_BaseYear/USD_2010</f>
        <v>0</v>
      </c>
      <c r="F13" t="s">
        <v>733</v>
      </c>
    </row>
    <row r="14" spans="1:6">
      <c r="A14" t="s">
        <v>634</v>
      </c>
      <c r="B14" s="791">
        <f>187 * USD_BaseYear/USD_2010</f>
        <v>187</v>
      </c>
      <c r="C14" s="791">
        <f>244.8 * USD_BaseYear/USD_2010</f>
        <v>244.79999999999998</v>
      </c>
      <c r="D14" s="791">
        <f>122.4 * USD_BaseYear/USD_2010</f>
        <v>122.39999999999999</v>
      </c>
      <c r="E14" s="791">
        <f>0 * USD_BaseYear/USD_2010</f>
        <v>0</v>
      </c>
      <c r="F14" t="s">
        <v>733</v>
      </c>
    </row>
    <row r="15" spans="1:6">
      <c r="A15" t="s">
        <v>635</v>
      </c>
      <c r="B15" s="791">
        <f>222 * USD_BaseYear/USD_2010</f>
        <v>222</v>
      </c>
      <c r="C15" s="791">
        <f>74.33 * USD_BaseYear/USD_2010</f>
        <v>74.33</v>
      </c>
      <c r="D15" s="791">
        <f>0 * USD_BaseYear/USD_2010</f>
        <v>0</v>
      </c>
      <c r="E15" s="791">
        <f>0 * USD_BaseYear/USD_2010</f>
        <v>0</v>
      </c>
      <c r="F15" t="s">
        <v>733</v>
      </c>
    </row>
    <row r="16" spans="1:6">
      <c r="A16" t="s">
        <v>636</v>
      </c>
      <c r="B16" s="791">
        <f>184.8 * USD_BaseYear/USD_2010</f>
        <v>184.8</v>
      </c>
      <c r="C16" s="791">
        <f>184.8 * USD_BaseYear/USD_2010</f>
        <v>184.8</v>
      </c>
      <c r="D16" s="791">
        <f>0 * USD_BaseYear/USD_2010</f>
        <v>0</v>
      </c>
      <c r="E16" s="791">
        <f>0 * USD_BaseYear/USD_2010</f>
        <v>0</v>
      </c>
      <c r="F16" t="s">
        <v>733</v>
      </c>
    </row>
    <row r="17" spans="1:6">
      <c r="A17" t="s">
        <v>637</v>
      </c>
      <c r="B17" s="791">
        <f>1380  * USD_BaseYear/USD_2010</f>
        <v>1380</v>
      </c>
      <c r="C17" s="791">
        <f>920 * USD_BaseYear/USD_2010</f>
        <v>920.00000000000011</v>
      </c>
      <c r="D17" s="791">
        <f>920 * USD_BaseYear/USD_2010</f>
        <v>920.00000000000011</v>
      </c>
      <c r="E17" s="791">
        <f>D17</f>
        <v>920.00000000000011</v>
      </c>
      <c r="F17" t="s">
        <v>733</v>
      </c>
    </row>
    <row r="18" spans="1:6">
      <c r="A18" s="218" t="s">
        <v>638</v>
      </c>
      <c r="B18" s="792">
        <f>2634.66 * USD_BaseYear/USD_2010</f>
        <v>2634.66</v>
      </c>
      <c r="C18" s="792">
        <f>2634.66 * USD_BaseYear/USD_2010</f>
        <v>2634.66</v>
      </c>
      <c r="D18" s="792">
        <f>2634.66 * USD_BaseYear/USD_2010</f>
        <v>2634.66</v>
      </c>
      <c r="E18" s="792">
        <f>D18</f>
        <v>2634.66</v>
      </c>
      <c r="F18" t="s">
        <v>733</v>
      </c>
    </row>
    <row r="19" spans="1:6">
      <c r="A19" t="s">
        <v>386</v>
      </c>
      <c r="B19" s="791">
        <f>SUM(B13:B18)</f>
        <v>6974.38</v>
      </c>
      <c r="C19" s="791">
        <f t="shared" ref="C19:E19" si="0">SUM(C13:C18)</f>
        <v>6308.51</v>
      </c>
      <c r="D19" s="791">
        <f t="shared" si="0"/>
        <v>5151.1399999999994</v>
      </c>
      <c r="E19" s="791">
        <f t="shared" si="0"/>
        <v>3554.66</v>
      </c>
    </row>
    <row r="20" spans="1:6" ht="13.5" customHeight="1"/>
    <row r="21" spans="1:6" ht="13.5" customHeight="1"/>
    <row r="22" spans="1:6" ht="13.5" customHeight="1">
      <c r="A22" s="18" t="s">
        <v>652</v>
      </c>
    </row>
    <row r="23" spans="1:6" ht="13.5" customHeight="1">
      <c r="A23" s="218"/>
      <c r="B23" s="262" t="s">
        <v>631</v>
      </c>
      <c r="C23" s="262" t="s">
        <v>9</v>
      </c>
      <c r="D23" s="262" t="s">
        <v>696</v>
      </c>
      <c r="E23" s="262" t="s">
        <v>24</v>
      </c>
    </row>
    <row r="24" spans="1:6" ht="13.5" customHeight="1">
      <c r="A24" t="s">
        <v>633</v>
      </c>
      <c r="B24" s="791">
        <f t="shared" ref="B24:E29" si="1">-PV(Nominal_discount_rate,12,B13/12)</f>
        <v>1485.8131418169544</v>
      </c>
      <c r="C24" s="791">
        <f t="shared" si="1"/>
        <v>1412.9643876533453</v>
      </c>
      <c r="D24" s="791">
        <f t="shared" si="1"/>
        <v>925.73182359908037</v>
      </c>
      <c r="E24" s="791">
        <f t="shared" si="1"/>
        <v>0</v>
      </c>
    </row>
    <row r="25" spans="1:6" ht="13.5" customHeight="1">
      <c r="A25" t="s">
        <v>634</v>
      </c>
      <c r="B25" s="791">
        <f t="shared" si="1"/>
        <v>117.43721576374962</v>
      </c>
      <c r="C25" s="791">
        <f t="shared" si="1"/>
        <v>153.73599154527221</v>
      </c>
      <c r="D25" s="791">
        <f t="shared" si="1"/>
        <v>76.867995772636107</v>
      </c>
      <c r="E25" s="791">
        <f t="shared" si="1"/>
        <v>0</v>
      </c>
    </row>
    <row r="26" spans="1:6" ht="13.5" customHeight="1">
      <c r="A26" t="s">
        <v>635</v>
      </c>
      <c r="B26" s="791">
        <f t="shared" si="1"/>
        <v>139.41744331311452</v>
      </c>
      <c r="C26" s="791">
        <f t="shared" si="1"/>
        <v>46.679723249836947</v>
      </c>
      <c r="D26" s="791">
        <f t="shared" si="1"/>
        <v>0</v>
      </c>
      <c r="E26" s="791">
        <f t="shared" si="1"/>
        <v>0</v>
      </c>
    </row>
    <row r="27" spans="1:6" ht="13.5" customHeight="1">
      <c r="A27" t="s">
        <v>636</v>
      </c>
      <c r="B27" s="791">
        <f t="shared" si="1"/>
        <v>116.05560146064668</v>
      </c>
      <c r="C27" s="791">
        <f t="shared" si="1"/>
        <v>116.05560146064668</v>
      </c>
      <c r="D27" s="791">
        <f t="shared" si="1"/>
        <v>0</v>
      </c>
      <c r="E27" s="791">
        <f t="shared" si="1"/>
        <v>0</v>
      </c>
    </row>
    <row r="28" spans="1:6" ht="13.5" customHeight="1">
      <c r="A28" t="s">
        <v>637</v>
      </c>
      <c r="B28" s="791">
        <f t="shared" si="1"/>
        <v>866.64897194638752</v>
      </c>
      <c r="C28" s="791">
        <f t="shared" si="1"/>
        <v>577.76598129759179</v>
      </c>
      <c r="D28" s="791">
        <f t="shared" si="1"/>
        <v>577.76598129759179</v>
      </c>
      <c r="E28" s="791">
        <f t="shared" si="1"/>
        <v>577.76598129759179</v>
      </c>
    </row>
    <row r="29" spans="1:6" ht="13.5" customHeight="1">
      <c r="A29" s="218" t="s">
        <v>638</v>
      </c>
      <c r="B29" s="792">
        <f t="shared" si="1"/>
        <v>1654.583609005992</v>
      </c>
      <c r="C29" s="792">
        <f t="shared" si="1"/>
        <v>1654.583609005992</v>
      </c>
      <c r="D29" s="792">
        <f t="shared" si="1"/>
        <v>1654.583609005992</v>
      </c>
      <c r="E29" s="792">
        <f t="shared" si="1"/>
        <v>1654.583609005992</v>
      </c>
    </row>
    <row r="30" spans="1:6" ht="13.5" customHeight="1">
      <c r="A30" t="s">
        <v>386</v>
      </c>
      <c r="B30" s="791">
        <f>SUM(B24:B29)</f>
        <v>4379.9559833068452</v>
      </c>
      <c r="C30" s="791">
        <f t="shared" ref="C30" si="2">SUM(C24:C29)</f>
        <v>3961.7852942126851</v>
      </c>
      <c r="D30" s="791">
        <f t="shared" ref="D30" si="3">SUM(D24:D29)</f>
        <v>3234.9494096753001</v>
      </c>
      <c r="E30" s="791">
        <f t="shared" ref="E30" si="4">SUM(E24:E29)</f>
        <v>2232.3495903035837</v>
      </c>
    </row>
    <row r="31" spans="1:6" ht="13.5" customHeight="1"/>
    <row r="32" spans="1:6">
      <c r="E32" s="789"/>
    </row>
    <row r="33" spans="1:6">
      <c r="A33" t="s">
        <v>725</v>
      </c>
    </row>
    <row r="34" spans="1:6">
      <c r="A34" s="218" t="s">
        <v>726</v>
      </c>
      <c r="B34" s="262" t="s">
        <v>631</v>
      </c>
      <c r="C34" s="262" t="s">
        <v>9</v>
      </c>
      <c r="D34" s="262" t="s">
        <v>696</v>
      </c>
      <c r="E34" s="262" t="s">
        <v>24</v>
      </c>
    </row>
    <row r="35" spans="1:6">
      <c r="A35" t="s">
        <v>721</v>
      </c>
      <c r="B35" s="241">
        <f>5853 * (USD_BaseYear/USD_2008)</f>
        <v>6029.5264799999995</v>
      </c>
      <c r="C35" s="241">
        <f>5371 * (USD_BaseYear/USD_2008)</f>
        <v>5532.9893599999996</v>
      </c>
      <c r="D35" s="241">
        <f>4861 * (USD_BaseYear/USD_2008)</f>
        <v>5007.6077599999999</v>
      </c>
      <c r="E35" s="241"/>
      <c r="F35" t="s">
        <v>731</v>
      </c>
    </row>
    <row r="36" spans="1:6">
      <c r="A36" t="s">
        <v>722</v>
      </c>
      <c r="B36" s="241">
        <f>8475 * (USD_BaseYear/USD_2008)</f>
        <v>8730.6059999999998</v>
      </c>
      <c r="C36" s="241"/>
      <c r="D36" s="241">
        <f>5118 * (USD_BaseYear/USD_2008)</f>
        <v>5272.3588799999998</v>
      </c>
      <c r="E36" s="241"/>
      <c r="F36" t="s">
        <v>731</v>
      </c>
    </row>
    <row r="37" spans="1:6">
      <c r="A37" t="s">
        <v>723</v>
      </c>
      <c r="B37" s="241">
        <f>12094 * (USD_BaseYear/USD_2008)</f>
        <v>12458.75504</v>
      </c>
      <c r="C37" s="241">
        <f>13407 * (USD_BaseYear/USD_2008)</f>
        <v>13811.35512</v>
      </c>
      <c r="D37" s="241"/>
      <c r="E37" s="241"/>
      <c r="F37" t="s">
        <v>731</v>
      </c>
    </row>
    <row r="38" spans="1:6">
      <c r="A38" t="s">
        <v>724</v>
      </c>
      <c r="B38" s="241">
        <f>3301 * (USD_BaseYear/USD_2008)</f>
        <v>3400.55816</v>
      </c>
      <c r="C38" s="241">
        <f>3107 * (USD_BaseYear/USD_2008)</f>
        <v>3200.70712</v>
      </c>
      <c r="D38" s="241"/>
      <c r="E38" s="241"/>
      <c r="F38" t="s">
        <v>731</v>
      </c>
    </row>
    <row r="40" spans="1:6">
      <c r="C40" s="241"/>
      <c r="D40" s="241"/>
    </row>
    <row r="41" spans="1:6">
      <c r="C41" s="241"/>
      <c r="D41" s="241"/>
    </row>
    <row r="42" spans="1:6">
      <c r="C42" s="241"/>
      <c r="D42" s="241"/>
    </row>
    <row r="43" spans="1:6">
      <c r="C43" s="241"/>
      <c r="D43" s="241"/>
    </row>
    <row r="45" spans="1:6">
      <c r="C45" s="791"/>
      <c r="D45" s="79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D14"/>
  <sheetViews>
    <sheetView workbookViewId="0"/>
  </sheetViews>
  <sheetFormatPr defaultRowHeight="15"/>
  <cols>
    <col min="1" max="1" width="14" customWidth="1"/>
    <col min="2" max="3" width="11" bestFit="1" customWidth="1"/>
    <col min="5" max="5" width="10.7109375" bestFit="1" customWidth="1"/>
    <col min="6" max="6" width="11" bestFit="1" customWidth="1"/>
  </cols>
  <sheetData>
    <row r="1" spans="1:4" ht="28.5">
      <c r="A1" s="95" t="s">
        <v>647</v>
      </c>
    </row>
    <row r="2" spans="1:4" ht="15" customHeight="1">
      <c r="A2" s="95"/>
    </row>
    <row r="3" spans="1:4" ht="15" customHeight="1">
      <c r="A3" s="808" t="s">
        <v>648</v>
      </c>
      <c r="B3" s="809"/>
    </row>
    <row r="4" spans="1:4" ht="15" customHeight="1">
      <c r="A4" s="484" t="s">
        <v>8</v>
      </c>
      <c r="B4" s="806">
        <v>0</v>
      </c>
    </row>
    <row r="5" spans="1:4" ht="15" customHeight="1">
      <c r="A5" s="484" t="s">
        <v>9</v>
      </c>
      <c r="B5" s="806">
        <v>0</v>
      </c>
    </row>
    <row r="6" spans="1:4" ht="15" customHeight="1">
      <c r="A6" s="484" t="s">
        <v>10</v>
      </c>
      <c r="B6" s="806">
        <f>D14/2</f>
        <v>1200</v>
      </c>
      <c r="C6" t="s">
        <v>697</v>
      </c>
    </row>
    <row r="7" spans="1:4" ht="15" customHeight="1">
      <c r="A7" s="484" t="s">
        <v>11</v>
      </c>
      <c r="B7" s="806">
        <f>D14</f>
        <v>2400</v>
      </c>
    </row>
    <row r="8" spans="1:4" ht="15" customHeight="1">
      <c r="A8" s="484" t="s">
        <v>24</v>
      </c>
      <c r="B8" s="806">
        <f>D14</f>
        <v>2400</v>
      </c>
    </row>
    <row r="9" spans="1:4" ht="15" customHeight="1">
      <c r="A9" s="95"/>
    </row>
    <row r="10" spans="1:4">
      <c r="A10" s="262"/>
      <c r="B10" s="833" t="s">
        <v>641</v>
      </c>
      <c r="C10" s="833" t="s">
        <v>642</v>
      </c>
      <c r="D10" s="262" t="s">
        <v>386</v>
      </c>
    </row>
    <row r="11" spans="1:4">
      <c r="A11" s="834" t="s">
        <v>49</v>
      </c>
      <c r="B11" s="807">
        <f>900 * USD_BaseYear/USD_2010</f>
        <v>900.00000000000011</v>
      </c>
      <c r="C11" s="807">
        <f>1500 * USD_BaseYear/USD_2010</f>
        <v>1500</v>
      </c>
      <c r="D11" s="859">
        <f>SUM(B11:C11)</f>
        <v>2400</v>
      </c>
    </row>
    <row r="12" spans="1:4">
      <c r="A12" s="834" t="s">
        <v>47</v>
      </c>
      <c r="B12" s="807">
        <f>500 * USD_BaseYear/USD_2010</f>
        <v>499.99999999999994</v>
      </c>
      <c r="C12" s="807">
        <f>970 * USD_BaseYear/USD_2010</f>
        <v>970</v>
      </c>
      <c r="D12" s="859">
        <f>SUM(B12:C12)</f>
        <v>1470</v>
      </c>
    </row>
    <row r="13" spans="1:4">
      <c r="A13" s="834" t="s">
        <v>48</v>
      </c>
      <c r="B13" s="807">
        <f>2500 * USD_BaseYear/USD_2010</f>
        <v>2500</v>
      </c>
      <c r="C13" s="807">
        <f>4000 * USD_BaseYear/USD_2010</f>
        <v>3999.9999999999995</v>
      </c>
      <c r="D13" s="859">
        <f>SUM(B13:C13)</f>
        <v>6500</v>
      </c>
    </row>
    <row r="14" spans="1:4">
      <c r="A14" s="44" t="str">
        <f>SUMMARY!B24</f>
        <v>Base Case</v>
      </c>
      <c r="B14" s="54"/>
      <c r="C14" s="54"/>
      <c r="D14" s="622">
        <f t="array" ref="D14">SUM(IF(A11:A13=A14,D11:D13))</f>
        <v>2400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C89"/>
  <sheetViews>
    <sheetView zoomScale="70" zoomScaleNormal="70" workbookViewId="0"/>
  </sheetViews>
  <sheetFormatPr defaultColWidth="8.85546875" defaultRowHeight="15"/>
  <cols>
    <col min="1" max="1" width="47.5703125" style="279" customWidth="1"/>
    <col min="2" max="2" width="20" style="279" bestFit="1" customWidth="1"/>
    <col min="3" max="4" width="20" style="279" customWidth="1"/>
    <col min="5" max="5" width="13.85546875" style="279" customWidth="1"/>
    <col min="6" max="6" width="13.140625" style="279" customWidth="1"/>
    <col min="7" max="7" width="19.7109375" style="279" customWidth="1"/>
    <col min="8" max="8" width="26.7109375" style="279" customWidth="1"/>
    <col min="9" max="9" width="25.7109375" style="279" customWidth="1"/>
    <col min="10" max="11" width="8.85546875" style="279"/>
    <col min="12" max="12" width="11.5703125" style="279" customWidth="1"/>
    <col min="13" max="13" width="13" style="279" customWidth="1"/>
    <col min="14" max="14" width="13.7109375" style="279" customWidth="1"/>
    <col min="15" max="15" width="11.5703125" style="279" customWidth="1"/>
    <col min="16" max="16" width="11.7109375" style="279" customWidth="1"/>
    <col min="17" max="17" width="14.42578125" style="279" customWidth="1"/>
    <col min="18" max="18" width="14.28515625" style="279" customWidth="1"/>
    <col min="19" max="19" width="15.42578125" style="279" customWidth="1"/>
    <col min="20" max="22" width="8.85546875" style="279"/>
    <col min="23" max="23" width="10.140625" style="279" customWidth="1"/>
    <col min="24" max="24" width="8.85546875" style="279"/>
    <col min="25" max="25" width="13" style="279" customWidth="1"/>
    <col min="26" max="26" width="12.28515625" style="279" customWidth="1"/>
    <col min="27" max="27" width="8.85546875" style="279"/>
    <col min="28" max="28" width="13.28515625" style="279" customWidth="1"/>
    <col min="29" max="29" width="10.42578125" style="279" customWidth="1"/>
    <col min="30" max="16384" width="8.85546875" style="279"/>
  </cols>
  <sheetData>
    <row r="1" spans="1:29" ht="26.25">
      <c r="A1" s="584" t="s">
        <v>753</v>
      </c>
      <c r="B1" s="277"/>
      <c r="C1" s="277"/>
      <c r="D1" s="277"/>
      <c r="E1" s="278"/>
      <c r="F1" s="278"/>
      <c r="G1" s="277"/>
      <c r="H1" s="277"/>
      <c r="K1" s="584" t="s">
        <v>356</v>
      </c>
      <c r="L1" s="286"/>
      <c r="M1" s="273"/>
      <c r="N1" s="273"/>
      <c r="O1" s="273"/>
      <c r="P1" s="273"/>
      <c r="Q1" s="273"/>
      <c r="R1" s="273"/>
      <c r="S1" s="273"/>
      <c r="T1" s="274"/>
      <c r="U1" s="584" t="s">
        <v>380</v>
      </c>
      <c r="V1" s="273"/>
      <c r="W1" s="273"/>
      <c r="X1" s="273"/>
      <c r="Y1" s="273"/>
      <c r="Z1" s="273"/>
      <c r="AA1" s="273"/>
      <c r="AB1" s="273"/>
      <c r="AC1" s="273"/>
    </row>
    <row r="2" spans="1:29" s="281" customFormat="1" ht="45">
      <c r="A2" s="720" t="s">
        <v>100</v>
      </c>
      <c r="B2" s="721" t="s">
        <v>294</v>
      </c>
      <c r="C2" s="721"/>
      <c r="D2" s="721"/>
      <c r="E2" s="721" t="s">
        <v>7</v>
      </c>
      <c r="F2" s="721" t="s">
        <v>381</v>
      </c>
      <c r="G2" s="721" t="s">
        <v>577</v>
      </c>
      <c r="H2" s="721" t="s">
        <v>578</v>
      </c>
      <c r="I2" s="280"/>
      <c r="K2" s="362" t="s">
        <v>324</v>
      </c>
      <c r="L2" s="298"/>
      <c r="M2" s="298"/>
      <c r="N2" s="298"/>
      <c r="O2" s="298"/>
      <c r="P2" s="298"/>
      <c r="Q2" s="298"/>
      <c r="R2" s="298"/>
      <c r="S2" s="298"/>
      <c r="T2" s="298"/>
      <c r="U2" s="259" t="s">
        <v>324</v>
      </c>
      <c r="V2" s="325"/>
      <c r="W2" s="325"/>
      <c r="X2" s="325"/>
      <c r="Y2" s="325"/>
      <c r="Z2" s="325"/>
      <c r="AA2" s="325"/>
      <c r="AB2" s="325"/>
      <c r="AC2" s="325"/>
    </row>
    <row r="3" spans="1:29" s="281" customFormat="1" ht="15.75" thickBot="1">
      <c r="A3" s="268" t="s">
        <v>295</v>
      </c>
      <c r="B3" s="280"/>
      <c r="C3" s="280"/>
      <c r="D3" s="280"/>
      <c r="E3" s="280"/>
      <c r="F3" s="280"/>
      <c r="G3" s="280"/>
      <c r="H3" s="280"/>
      <c r="I3" s="280"/>
      <c r="K3" s="298"/>
      <c r="L3" s="298"/>
      <c r="M3" s="298"/>
      <c r="N3" s="298"/>
      <c r="O3" s="298"/>
      <c r="P3" s="298"/>
      <c r="Q3" s="298"/>
      <c r="R3" s="298"/>
      <c r="S3" s="298"/>
      <c r="T3" s="298"/>
      <c r="U3" s="325"/>
      <c r="V3" s="325"/>
      <c r="W3" s="325"/>
      <c r="X3" s="325"/>
      <c r="Y3" s="325"/>
      <c r="Z3" s="325"/>
      <c r="AA3" s="325"/>
      <c r="AB3" s="325"/>
      <c r="AC3" s="325"/>
    </row>
    <row r="4" spans="1:29" s="281" customFormat="1">
      <c r="A4" s="269" t="s">
        <v>296</v>
      </c>
      <c r="B4" s="282">
        <v>8.9</v>
      </c>
      <c r="C4" s="282"/>
      <c r="D4" s="282"/>
      <c r="E4" s="282" t="s">
        <v>297</v>
      </c>
      <c r="F4" s="282">
        <f t="shared" ref="F4:F12" si="0">B4*(USD_BaseYear/USD_2004)</f>
        <v>10.260473406296249</v>
      </c>
      <c r="G4" s="282">
        <f t="shared" ref="G4:G12" si="1">F4 * ealloc_perbbloil_to_pergalgas</f>
        <v>0.21838669948466038</v>
      </c>
      <c r="H4" s="282">
        <f>G4</f>
        <v>0.21838669948466038</v>
      </c>
      <c r="I4" s="280"/>
      <c r="K4" s="352" t="s">
        <v>325</v>
      </c>
      <c r="L4" s="299"/>
      <c r="M4" s="299"/>
      <c r="N4" s="299"/>
      <c r="O4" s="299"/>
      <c r="P4" s="299"/>
      <c r="Q4" s="299"/>
      <c r="R4" s="299"/>
      <c r="S4" s="300"/>
      <c r="U4" s="358" t="s">
        <v>357</v>
      </c>
      <c r="V4" s="326"/>
      <c r="W4" s="326"/>
      <c r="X4" s="326"/>
      <c r="Y4" s="326"/>
      <c r="Z4" s="326"/>
      <c r="AA4" s="326"/>
      <c r="AB4" s="327"/>
    </row>
    <row r="5" spans="1:29" s="281" customFormat="1" ht="15.75" thickBot="1">
      <c r="A5" s="270" t="s">
        <v>298</v>
      </c>
      <c r="B5" s="283">
        <v>2.91</v>
      </c>
      <c r="C5" s="283"/>
      <c r="D5" s="283"/>
      <c r="E5" s="283" t="s">
        <v>297</v>
      </c>
      <c r="F5" s="283">
        <f t="shared" si="0"/>
        <v>3.3548289452047286</v>
      </c>
      <c r="G5" s="283">
        <f t="shared" si="1"/>
        <v>7.1405089382063108E-2</v>
      </c>
      <c r="H5" s="282">
        <f t="shared" ref="H5:H6" si="2">G5</f>
        <v>7.1405089382063108E-2</v>
      </c>
      <c r="I5" s="280"/>
      <c r="K5" s="353" t="s">
        <v>326</v>
      </c>
      <c r="L5" s="301"/>
      <c r="M5" s="301"/>
      <c r="N5" s="301"/>
      <c r="O5" s="301"/>
      <c r="P5" s="301"/>
      <c r="Q5" s="301"/>
      <c r="R5" s="301"/>
      <c r="S5" s="302"/>
      <c r="U5" s="359" t="s">
        <v>358</v>
      </c>
      <c r="V5" s="328"/>
      <c r="W5" s="328"/>
      <c r="X5" s="328"/>
      <c r="Y5" s="328"/>
      <c r="Z5" s="328"/>
      <c r="AA5" s="328"/>
      <c r="AB5" s="329"/>
    </row>
    <row r="6" spans="1:29" s="281" customFormat="1">
      <c r="A6" s="718" t="s">
        <v>299</v>
      </c>
      <c r="B6" s="719">
        <v>18.399999999999999</v>
      </c>
      <c r="C6" s="719"/>
      <c r="D6" s="719"/>
      <c r="E6" s="719" t="s">
        <v>297</v>
      </c>
      <c r="F6" s="719">
        <f t="shared" si="0"/>
        <v>21.212664120882131</v>
      </c>
      <c r="G6" s="719">
        <f t="shared" si="1"/>
        <v>0.45149609781098321</v>
      </c>
      <c r="H6" s="286">
        <f t="shared" si="2"/>
        <v>0.45149609781098321</v>
      </c>
      <c r="I6" s="280"/>
      <c r="K6" s="354"/>
      <c r="L6" s="303"/>
      <c r="M6" s="303"/>
      <c r="N6" s="303"/>
      <c r="O6" s="303"/>
      <c r="P6" s="303"/>
      <c r="Q6" s="303"/>
      <c r="R6" s="303"/>
      <c r="S6" s="303"/>
      <c r="U6" s="359" t="s">
        <v>359</v>
      </c>
      <c r="V6" s="328"/>
      <c r="W6" s="328"/>
      <c r="X6" s="328"/>
      <c r="Y6" s="328"/>
      <c r="Z6" s="328"/>
      <c r="AA6" s="328"/>
      <c r="AB6" s="329"/>
    </row>
    <row r="7" spans="1:29" s="281" customFormat="1">
      <c r="A7" s="269" t="s">
        <v>300</v>
      </c>
      <c r="B7" s="282">
        <v>4.68</v>
      </c>
      <c r="C7" s="282"/>
      <c r="D7" s="282"/>
      <c r="E7" s="282" t="s">
        <v>297</v>
      </c>
      <c r="F7" s="282">
        <f t="shared" si="0"/>
        <v>5.395395004659151</v>
      </c>
      <c r="G7" s="282">
        <f t="shared" si="1"/>
        <v>0.11483705096496748</v>
      </c>
      <c r="H7" s="282">
        <f t="shared" ref="H7:H12" si="3">G7*Q$76</f>
        <v>5.9600429450818122E-2</v>
      </c>
      <c r="I7" s="280"/>
      <c r="K7" s="355"/>
      <c r="L7" s="298"/>
      <c r="M7" s="298"/>
      <c r="N7" s="298"/>
      <c r="O7" s="298"/>
      <c r="P7" s="298"/>
      <c r="Q7" s="298"/>
      <c r="R7" s="298"/>
      <c r="S7" s="298"/>
      <c r="U7" s="359" t="s">
        <v>360</v>
      </c>
      <c r="V7" s="328"/>
      <c r="W7" s="328"/>
      <c r="X7" s="328"/>
      <c r="Y7" s="328"/>
      <c r="Z7" s="328"/>
      <c r="AA7" s="328"/>
      <c r="AB7" s="329"/>
    </row>
    <row r="8" spans="1:29" s="281" customFormat="1" ht="15.75" thickBot="1">
      <c r="A8" s="270" t="s">
        <v>301</v>
      </c>
      <c r="B8" s="283">
        <v>2.1800000000000002</v>
      </c>
      <c r="C8" s="283"/>
      <c r="D8" s="283"/>
      <c r="E8" s="283" t="s">
        <v>297</v>
      </c>
      <c r="F8" s="283">
        <f t="shared" si="0"/>
        <v>2.51323955345234</v>
      </c>
      <c r="G8" s="283">
        <f t="shared" si="1"/>
        <v>5.3492472458040417E-2</v>
      </c>
      <c r="H8" s="282">
        <f t="shared" si="3"/>
        <v>2.7762593205722979E-2</v>
      </c>
      <c r="I8" s="280"/>
      <c r="K8" s="251" t="s">
        <v>327</v>
      </c>
      <c r="L8" s="304"/>
      <c r="M8" s="304"/>
      <c r="N8" s="304"/>
      <c r="O8" s="304"/>
      <c r="P8" s="304"/>
      <c r="Q8" s="304"/>
      <c r="R8" s="304"/>
      <c r="S8" s="304"/>
      <c r="U8" s="360"/>
      <c r="V8" s="330"/>
      <c r="W8" s="330"/>
      <c r="X8" s="330"/>
      <c r="Y8" s="330"/>
      <c r="Z8" s="330"/>
      <c r="AA8" s="330"/>
      <c r="AB8" s="331"/>
    </row>
    <row r="9" spans="1:29" s="281" customFormat="1">
      <c r="A9" s="718" t="s">
        <v>302</v>
      </c>
      <c r="B9" s="719">
        <v>7.81</v>
      </c>
      <c r="C9" s="719"/>
      <c r="D9" s="719"/>
      <c r="E9" s="719" t="s">
        <v>297</v>
      </c>
      <c r="F9" s="719">
        <f t="shared" si="0"/>
        <v>9.0038536295700791</v>
      </c>
      <c r="G9" s="719">
        <f t="shared" si="1"/>
        <v>0.19164046325564019</v>
      </c>
      <c r="H9" s="286">
        <f t="shared" si="3"/>
        <v>9.9461400429677257E-2</v>
      </c>
      <c r="I9" s="280"/>
      <c r="K9" s="253" t="s">
        <v>328</v>
      </c>
      <c r="L9" s="304"/>
      <c r="M9" s="304"/>
      <c r="N9" s="304"/>
      <c r="O9" s="304"/>
      <c r="P9" s="304"/>
      <c r="Q9" s="304"/>
      <c r="R9" s="304"/>
      <c r="S9" s="304"/>
      <c r="U9" s="257"/>
      <c r="V9" s="325"/>
      <c r="W9" s="325"/>
      <c r="X9" s="325"/>
      <c r="Y9" s="325"/>
      <c r="Z9" s="325"/>
      <c r="AA9" s="325"/>
      <c r="AB9" s="325"/>
    </row>
    <row r="10" spans="1:29" s="281" customFormat="1" ht="15.75" thickBot="1">
      <c r="A10" s="271" t="s">
        <v>303</v>
      </c>
      <c r="B10" s="282">
        <f>B4+B7</f>
        <v>13.58</v>
      </c>
      <c r="C10" s="282"/>
      <c r="D10" s="282"/>
      <c r="E10" s="282" t="s">
        <v>297</v>
      </c>
      <c r="F10" s="284">
        <f t="shared" si="0"/>
        <v>15.655868410955399</v>
      </c>
      <c r="G10" s="285">
        <f t="shared" si="1"/>
        <v>0.33322375044962788</v>
      </c>
      <c r="H10" s="284">
        <f t="shared" si="3"/>
        <v>0.17294312648335688</v>
      </c>
      <c r="I10" s="280"/>
      <c r="K10" s="305"/>
      <c r="L10" s="301"/>
      <c r="M10" s="301"/>
      <c r="N10" s="301"/>
      <c r="O10" s="301"/>
      <c r="P10" s="301"/>
      <c r="Q10" s="301"/>
      <c r="R10" s="301"/>
      <c r="S10" s="301"/>
      <c r="U10" s="257"/>
      <c r="V10" s="325"/>
      <c r="W10" s="325"/>
      <c r="X10" s="325"/>
      <c r="Y10" s="325"/>
      <c r="Z10" s="325"/>
      <c r="AA10" s="325"/>
      <c r="AB10" s="325"/>
    </row>
    <row r="11" spans="1:29" s="281" customFormat="1">
      <c r="A11" s="271" t="s">
        <v>304</v>
      </c>
      <c r="B11" s="282">
        <f>B5+B8</f>
        <v>5.09</v>
      </c>
      <c r="C11" s="282"/>
      <c r="D11" s="282"/>
      <c r="E11" s="282" t="s">
        <v>297</v>
      </c>
      <c r="F11" s="284">
        <f t="shared" si="0"/>
        <v>5.8680684986570677</v>
      </c>
      <c r="G11" s="284">
        <f t="shared" si="1"/>
        <v>0.1248975618401035</v>
      </c>
      <c r="H11" s="284">
        <f t="shared" si="3"/>
        <v>6.4821834595013728E-2</v>
      </c>
      <c r="I11" s="280"/>
      <c r="K11" s="306"/>
      <c r="L11" s="306"/>
      <c r="M11" s="306"/>
      <c r="N11" s="306"/>
      <c r="O11" s="306"/>
      <c r="P11" s="306"/>
      <c r="Q11" s="306"/>
      <c r="R11" s="306" t="s">
        <v>329</v>
      </c>
      <c r="S11" s="306"/>
      <c r="U11" s="252" t="s">
        <v>361</v>
      </c>
      <c r="V11" s="332"/>
      <c r="W11" s="332"/>
      <c r="X11" s="332"/>
      <c r="Y11" s="332"/>
      <c r="Z11" s="332"/>
      <c r="AA11" s="332"/>
      <c r="AB11" s="332"/>
    </row>
    <row r="12" spans="1:29" s="281" customFormat="1">
      <c r="A12" s="271" t="s">
        <v>305</v>
      </c>
      <c r="B12" s="282">
        <f>B6+B9</f>
        <v>26.209999999999997</v>
      </c>
      <c r="C12" s="282"/>
      <c r="D12" s="282"/>
      <c r="E12" s="282" t="s">
        <v>297</v>
      </c>
      <c r="F12" s="284">
        <f t="shared" si="0"/>
        <v>30.216517750452208</v>
      </c>
      <c r="G12" s="284">
        <f t="shared" si="1"/>
        <v>0.64313656106662342</v>
      </c>
      <c r="H12" s="284">
        <f t="shared" si="3"/>
        <v>0.33378787519357755</v>
      </c>
      <c r="I12" s="280"/>
      <c r="K12" s="306"/>
      <c r="L12" s="306"/>
      <c r="M12" s="306"/>
      <c r="N12" s="306"/>
      <c r="O12" s="306"/>
      <c r="P12" s="306"/>
      <c r="Q12" s="306" t="s">
        <v>330</v>
      </c>
      <c r="R12" s="306" t="s">
        <v>331</v>
      </c>
      <c r="S12" s="306" t="s">
        <v>332</v>
      </c>
      <c r="U12" s="254" t="s">
        <v>362</v>
      </c>
      <c r="V12" s="332"/>
      <c r="W12" s="332"/>
      <c r="X12" s="332"/>
      <c r="Y12" s="332"/>
      <c r="Z12" s="332"/>
      <c r="AA12" s="332"/>
      <c r="AB12" s="332"/>
    </row>
    <row r="13" spans="1:29" s="281" customFormat="1">
      <c r="A13" s="272"/>
      <c r="B13" s="286"/>
      <c r="C13" s="286"/>
      <c r="D13" s="286"/>
      <c r="E13" s="286"/>
      <c r="F13" s="286"/>
      <c r="G13" s="286"/>
      <c r="H13" s="282"/>
      <c r="I13" s="280"/>
      <c r="K13" s="306"/>
      <c r="L13" s="306" t="s">
        <v>333</v>
      </c>
      <c r="M13" s="306" t="s">
        <v>334</v>
      </c>
      <c r="N13" s="306" t="s">
        <v>332</v>
      </c>
      <c r="O13" s="306" t="s">
        <v>329</v>
      </c>
      <c r="P13" s="306" t="s">
        <v>335</v>
      </c>
      <c r="Q13" s="306" t="s">
        <v>336</v>
      </c>
      <c r="R13" s="306" t="s">
        <v>337</v>
      </c>
      <c r="S13" s="306" t="s">
        <v>338</v>
      </c>
      <c r="U13" s="254" t="s">
        <v>343</v>
      </c>
      <c r="V13" s="332"/>
      <c r="W13" s="332"/>
      <c r="X13" s="332"/>
      <c r="Y13" s="332"/>
      <c r="Z13" s="332"/>
      <c r="AA13" s="332"/>
      <c r="AB13" s="332"/>
    </row>
    <row r="14" spans="1:29" s="281" customFormat="1" ht="15.75" thickBot="1">
      <c r="A14" s="958" t="s">
        <v>306</v>
      </c>
      <c r="B14" s="958"/>
      <c r="C14" s="958"/>
      <c r="D14" s="958"/>
      <c r="E14" s="958"/>
      <c r="F14" s="958"/>
      <c r="G14" s="958"/>
      <c r="H14" s="282"/>
      <c r="I14" s="280"/>
      <c r="K14" s="306"/>
      <c r="L14" s="306" t="s">
        <v>331</v>
      </c>
      <c r="M14" s="306" t="s">
        <v>331</v>
      </c>
      <c r="N14" s="306" t="s">
        <v>331</v>
      </c>
      <c r="O14" s="306" t="s">
        <v>331</v>
      </c>
      <c r="P14" s="306" t="s">
        <v>331</v>
      </c>
      <c r="Q14" s="306" t="s">
        <v>339</v>
      </c>
      <c r="R14" s="306" t="s">
        <v>339</v>
      </c>
      <c r="S14" s="306" t="s">
        <v>339</v>
      </c>
      <c r="U14" s="330"/>
      <c r="V14" s="330"/>
      <c r="W14" s="330"/>
      <c r="X14" s="330"/>
      <c r="Y14" s="330"/>
      <c r="Z14" s="330"/>
      <c r="AA14" s="330"/>
      <c r="AB14" s="330"/>
    </row>
    <row r="15" spans="1:29" s="281" customFormat="1" ht="26.25">
      <c r="A15" s="267"/>
      <c r="B15" s="267" t="s">
        <v>579</v>
      </c>
      <c r="C15" s="267" t="s">
        <v>333</v>
      </c>
      <c r="D15" s="267" t="s">
        <v>580</v>
      </c>
      <c r="E15" s="267"/>
      <c r="F15" s="267"/>
      <c r="G15" s="267"/>
      <c r="H15" s="282"/>
      <c r="I15" s="280"/>
      <c r="K15" s="306"/>
      <c r="L15" s="307" t="s">
        <v>340</v>
      </c>
      <c r="M15" s="307" t="s">
        <v>336</v>
      </c>
      <c r="N15" s="307" t="s">
        <v>337</v>
      </c>
      <c r="O15" s="307" t="s">
        <v>337</v>
      </c>
      <c r="P15" s="307" t="s">
        <v>337</v>
      </c>
      <c r="Q15" s="306" t="s">
        <v>329</v>
      </c>
      <c r="R15" s="306" t="s">
        <v>341</v>
      </c>
      <c r="S15" s="306" t="s">
        <v>342</v>
      </c>
      <c r="U15" s="333"/>
      <c r="V15" s="333"/>
      <c r="W15" s="333"/>
      <c r="X15" s="333" t="s">
        <v>334</v>
      </c>
      <c r="Y15" s="333" t="s">
        <v>334</v>
      </c>
      <c r="Z15" s="333"/>
      <c r="AA15" s="333" t="s">
        <v>363</v>
      </c>
      <c r="AB15" s="333"/>
    </row>
    <row r="16" spans="1:29" s="281" customFormat="1" ht="36.75">
      <c r="A16" s="269" t="s">
        <v>307</v>
      </c>
      <c r="B16" s="282">
        <v>0.11</v>
      </c>
      <c r="C16" s="282">
        <v>-0.84</v>
      </c>
      <c r="D16" s="282">
        <f>B16*B$36 + C16*(1-B$36)</f>
        <v>-0.34694999999999998</v>
      </c>
      <c r="E16" s="282" t="s">
        <v>308</v>
      </c>
      <c r="F16" s="282"/>
      <c r="G16" s="282"/>
      <c r="H16" s="282"/>
      <c r="I16" s="282"/>
      <c r="K16" s="307"/>
      <c r="L16" s="308" t="s">
        <v>343</v>
      </c>
      <c r="M16" s="308"/>
      <c r="N16" s="308"/>
      <c r="O16" s="308"/>
      <c r="P16" s="308"/>
      <c r="Q16" s="307" t="s">
        <v>337</v>
      </c>
      <c r="R16" s="307" t="s">
        <v>337</v>
      </c>
      <c r="S16" s="307" t="s">
        <v>340</v>
      </c>
      <c r="U16" s="333"/>
      <c r="V16" s="333" t="s">
        <v>330</v>
      </c>
      <c r="W16" s="333" t="s">
        <v>334</v>
      </c>
      <c r="X16" s="333" t="s">
        <v>364</v>
      </c>
      <c r="Y16" s="333" t="s">
        <v>365</v>
      </c>
      <c r="Z16" s="333"/>
      <c r="AA16" s="333" t="s">
        <v>339</v>
      </c>
      <c r="AB16" s="333"/>
    </row>
    <row r="17" spans="1:28" s="281" customFormat="1" ht="30">
      <c r="A17" s="270" t="s">
        <v>309</v>
      </c>
      <c r="B17" s="283">
        <v>7.0000000000000007E-2</v>
      </c>
      <c r="C17" s="283">
        <v>-1.97</v>
      </c>
      <c r="D17" s="283">
        <f t="shared" ref="D17:D21" si="4">B17*B$36 + C17*(1-B$36)</f>
        <v>-0.91123999999999994</v>
      </c>
      <c r="E17" s="283" t="s">
        <v>308</v>
      </c>
      <c r="F17" s="283"/>
      <c r="G17" s="282"/>
      <c r="H17" s="282"/>
      <c r="I17" s="282"/>
      <c r="K17" s="306">
        <v>1950</v>
      </c>
      <c r="L17" s="309">
        <v>5.9055753424657533</v>
      </c>
      <c r="M17" s="309">
        <v>0.54508219178082196</v>
      </c>
      <c r="N17" s="309">
        <v>3.3561643835616439</v>
      </c>
      <c r="O17" s="309">
        <v>6.4579178082191779</v>
      </c>
      <c r="P17" s="310" t="s">
        <v>344</v>
      </c>
      <c r="Q17" s="311">
        <v>8.4405253824550094E-2</v>
      </c>
      <c r="R17" s="312" t="s">
        <v>344</v>
      </c>
      <c r="S17" s="311">
        <v>0.5683043884696839</v>
      </c>
      <c r="U17" s="333"/>
      <c r="V17" s="333" t="s">
        <v>366</v>
      </c>
      <c r="W17" s="333" t="s">
        <v>367</v>
      </c>
      <c r="X17" s="333" t="s">
        <v>368</v>
      </c>
      <c r="Y17" s="333" t="s">
        <v>369</v>
      </c>
      <c r="Z17" s="333" t="s">
        <v>334</v>
      </c>
      <c r="AA17" s="333" t="s">
        <v>329</v>
      </c>
      <c r="AB17" s="333" t="s">
        <v>370</v>
      </c>
    </row>
    <row r="18" spans="1:28" s="281" customFormat="1" ht="30">
      <c r="A18" s="718" t="s">
        <v>310</v>
      </c>
      <c r="B18" s="719">
        <v>0.25</v>
      </c>
      <c r="C18" s="719">
        <v>-0.57999999999999996</v>
      </c>
      <c r="D18" s="719">
        <f t="shared" si="4"/>
        <v>-0.14922999999999995</v>
      </c>
      <c r="E18" s="719" t="s">
        <v>308</v>
      </c>
      <c r="F18" s="719"/>
      <c r="G18" s="282"/>
      <c r="H18" s="282"/>
      <c r="I18" s="282"/>
      <c r="K18" s="306">
        <v>1951</v>
      </c>
      <c r="L18" s="309">
        <v>6.7190821917808217</v>
      </c>
      <c r="M18" s="309">
        <v>0.42230684931506851</v>
      </c>
      <c r="N18" s="309">
        <v>3.6923479452054795</v>
      </c>
      <c r="O18" s="309">
        <v>7.0161315068493151</v>
      </c>
      <c r="P18" s="310" t="s">
        <v>344</v>
      </c>
      <c r="Q18" s="311">
        <v>6.0190840052356843E-2</v>
      </c>
      <c r="R18" s="312" t="s">
        <v>344</v>
      </c>
      <c r="S18" s="311">
        <v>0.54953159372305005</v>
      </c>
      <c r="U18" s="334" t="s">
        <v>18</v>
      </c>
      <c r="V18" s="334" t="s">
        <v>336</v>
      </c>
      <c r="W18" s="334" t="s">
        <v>371</v>
      </c>
      <c r="X18" s="334" t="s">
        <v>336</v>
      </c>
      <c r="Y18" s="334" t="s">
        <v>371</v>
      </c>
      <c r="Z18" s="334" t="s">
        <v>336</v>
      </c>
      <c r="AA18" s="334" t="s">
        <v>337</v>
      </c>
      <c r="AB18" s="334" t="s">
        <v>336</v>
      </c>
    </row>
    <row r="19" spans="1:28" s="281" customFormat="1" ht="30">
      <c r="A19" s="722" t="s">
        <v>311</v>
      </c>
      <c r="B19" s="723">
        <v>4.87</v>
      </c>
      <c r="C19" s="723">
        <v>3.65</v>
      </c>
      <c r="D19" s="723">
        <f t="shared" si="4"/>
        <v>4.2831799999999998</v>
      </c>
      <c r="E19" s="723" t="s">
        <v>308</v>
      </c>
      <c r="F19" s="723"/>
      <c r="G19" s="282"/>
      <c r="H19" s="282"/>
      <c r="I19" s="282"/>
      <c r="K19" s="306">
        <v>1952</v>
      </c>
      <c r="L19" s="309">
        <v>6.8858931506849315</v>
      </c>
      <c r="M19" s="309">
        <v>0.52142191780821923</v>
      </c>
      <c r="N19" s="309">
        <v>3.8809260273972606</v>
      </c>
      <c r="O19" s="309">
        <v>7.289534246575343</v>
      </c>
      <c r="P19" s="310" t="s">
        <v>344</v>
      </c>
      <c r="Q19" s="311">
        <v>7.1530210322173285E-2</v>
      </c>
      <c r="R19" s="312" t="s">
        <v>344</v>
      </c>
      <c r="S19" s="311">
        <v>0.56360532213765613</v>
      </c>
      <c r="U19" s="333">
        <v>1960</v>
      </c>
      <c r="V19" s="335">
        <v>1.31</v>
      </c>
      <c r="W19" s="336">
        <v>0.81299999999999994</v>
      </c>
      <c r="X19" s="337" t="s">
        <v>372</v>
      </c>
      <c r="Y19" s="337" t="s">
        <v>372</v>
      </c>
      <c r="Z19" s="335">
        <v>1.61</v>
      </c>
      <c r="AA19" s="337" t="s">
        <v>372</v>
      </c>
      <c r="AB19" s="335">
        <v>1.82</v>
      </c>
    </row>
    <row r="20" spans="1:28" s="281" customFormat="1" ht="30">
      <c r="A20" s="270" t="s">
        <v>312</v>
      </c>
      <c r="B20" s="283">
        <v>1.03</v>
      </c>
      <c r="C20" s="283">
        <v>0.77</v>
      </c>
      <c r="D20" s="283">
        <f t="shared" si="4"/>
        <v>0.90493999999999997</v>
      </c>
      <c r="E20" s="283" t="s">
        <v>308</v>
      </c>
      <c r="F20" s="283"/>
      <c r="G20" s="282"/>
      <c r="H20" s="282"/>
      <c r="I20" s="282"/>
      <c r="K20" s="306">
        <v>1953</v>
      </c>
      <c r="L20" s="309">
        <v>7.1113999999999997</v>
      </c>
      <c r="M20" s="309">
        <v>0.63262465753424657</v>
      </c>
      <c r="N20" s="309">
        <v>4.0694904109589043</v>
      </c>
      <c r="O20" s="309">
        <v>7.5996273972602744</v>
      </c>
      <c r="P20" s="310" t="s">
        <v>344</v>
      </c>
      <c r="Q20" s="311">
        <v>8.3244167702526142E-2</v>
      </c>
      <c r="R20" s="312" t="s">
        <v>344</v>
      </c>
      <c r="S20" s="311">
        <v>0.57224884143191279</v>
      </c>
      <c r="U20" s="338">
        <v>1961</v>
      </c>
      <c r="V20" s="339">
        <v>1.2829999999999999</v>
      </c>
      <c r="W20" s="340">
        <v>0.73608720596672395</v>
      </c>
      <c r="X20" s="341" t="s">
        <v>372</v>
      </c>
      <c r="Y20" s="341" t="s">
        <v>372</v>
      </c>
      <c r="Z20" s="339">
        <v>1.7430000000000001</v>
      </c>
      <c r="AA20" s="342">
        <v>0.17434869739478956</v>
      </c>
      <c r="AB20" s="339">
        <v>1.92</v>
      </c>
    </row>
    <row r="21" spans="1:28" s="281" customFormat="1" ht="30">
      <c r="A21" s="718" t="s">
        <v>313</v>
      </c>
      <c r="B21" s="719">
        <v>14.1</v>
      </c>
      <c r="C21" s="719">
        <v>10.67</v>
      </c>
      <c r="D21" s="719">
        <f t="shared" si="4"/>
        <v>12.45017</v>
      </c>
      <c r="E21" s="719" t="s">
        <v>308</v>
      </c>
      <c r="F21" s="719"/>
      <c r="G21" s="282"/>
      <c r="H21" s="282"/>
      <c r="I21" s="282"/>
      <c r="K21" s="313">
        <v>1954</v>
      </c>
      <c r="L21" s="309">
        <v>7.033208219178082</v>
      </c>
      <c r="M21" s="309">
        <v>0.69649863013698632</v>
      </c>
      <c r="N21" s="309">
        <v>4.1121917808219175</v>
      </c>
      <c r="O21" s="309">
        <v>7.7560328767123288</v>
      </c>
      <c r="P21" s="310" t="s">
        <v>344</v>
      </c>
      <c r="Q21" s="311">
        <v>8.9800886768832536E-2</v>
      </c>
      <c r="R21" s="312" t="s">
        <v>344</v>
      </c>
      <c r="S21" s="311">
        <v>0.5846822179398633</v>
      </c>
      <c r="U21" s="338">
        <v>1962</v>
      </c>
      <c r="V21" s="339">
        <v>1.21</v>
      </c>
      <c r="W21" s="340">
        <v>0.63251437532671195</v>
      </c>
      <c r="X21" s="341" t="s">
        <v>372</v>
      </c>
      <c r="Y21" s="341" t="s">
        <v>372</v>
      </c>
      <c r="Z21" s="339">
        <v>1.913</v>
      </c>
      <c r="AA21" s="342">
        <v>0.18365384615384614</v>
      </c>
      <c r="AB21" s="339">
        <v>2.08</v>
      </c>
    </row>
    <row r="22" spans="1:28" s="281" customFormat="1">
      <c r="A22" s="271" t="s">
        <v>314</v>
      </c>
      <c r="B22" s="282">
        <f>B16+B19</f>
        <v>4.9800000000000004</v>
      </c>
      <c r="C22" s="282">
        <f t="shared" ref="C22:D22" si="5">C16+C19</f>
        <v>2.81</v>
      </c>
      <c r="D22" s="282">
        <f t="shared" si="5"/>
        <v>3.9362299999999997</v>
      </c>
      <c r="E22" s="282" t="s">
        <v>308</v>
      </c>
      <c r="F22" s="284">
        <f>D22*(USD_BaseYear/USD_2007)</f>
        <v>4.1456778170240103</v>
      </c>
      <c r="G22" s="287">
        <f t="shared" ref="G22:G24" si="6">F22 * ealloc_perbbloil_to_pergalgas</f>
        <v>8.8237731314724593E-2</v>
      </c>
      <c r="H22" s="282"/>
      <c r="K22" s="313">
        <v>1955</v>
      </c>
      <c r="L22" s="314">
        <v>7.5775315068493159</v>
      </c>
      <c r="M22" s="314">
        <v>0.88048219178082199</v>
      </c>
      <c r="N22" s="314">
        <v>4.4584931506849319</v>
      </c>
      <c r="O22" s="314">
        <v>8.4553479452054798</v>
      </c>
      <c r="P22" s="315" t="s">
        <v>344</v>
      </c>
      <c r="Q22" s="316">
        <v>0.10413317080346653</v>
      </c>
      <c r="R22" s="317" t="s">
        <v>344</v>
      </c>
      <c r="S22" s="316">
        <v>0.58838332069684018</v>
      </c>
      <c r="U22" s="338">
        <v>1963</v>
      </c>
      <c r="V22" s="339">
        <v>1.282</v>
      </c>
      <c r="W22" s="340">
        <v>0.66945169712793728</v>
      </c>
      <c r="X22" s="341" t="s">
        <v>372</v>
      </c>
      <c r="Y22" s="341" t="s">
        <v>372</v>
      </c>
      <c r="Z22" s="339">
        <v>1.915</v>
      </c>
      <c r="AA22" s="342">
        <v>0.17877094972067037</v>
      </c>
      <c r="AB22" s="339">
        <v>2.12</v>
      </c>
    </row>
    <row r="23" spans="1:28" s="281" customFormat="1">
      <c r="A23" s="271" t="s">
        <v>315</v>
      </c>
      <c r="B23" s="282">
        <f>B17+B20</f>
        <v>1.1000000000000001</v>
      </c>
      <c r="C23" s="282">
        <f t="shared" ref="C23:D23" si="7">C17+C20</f>
        <v>-1.2</v>
      </c>
      <c r="D23" s="282">
        <f t="shared" si="7"/>
        <v>-6.2999999999999723E-3</v>
      </c>
      <c r="E23" s="282" t="s">
        <v>308</v>
      </c>
      <c r="F23" s="284">
        <f>D23*(USD_BaseYear/USD_2007)</f>
        <v>-6.635224630484284E-3</v>
      </c>
      <c r="G23" s="284">
        <f t="shared" si="6"/>
        <v>-1.4122592106730617E-4</v>
      </c>
      <c r="H23" s="282"/>
      <c r="K23" s="313">
        <v>1956</v>
      </c>
      <c r="L23" s="314">
        <v>7.9726301369863011</v>
      </c>
      <c r="M23" s="314">
        <v>1.0087808219178083</v>
      </c>
      <c r="N23" s="314">
        <v>4.6348191780821919</v>
      </c>
      <c r="O23" s="314">
        <v>8.7992410958904106</v>
      </c>
      <c r="P23" s="315" t="s">
        <v>344</v>
      </c>
      <c r="Q23" s="316">
        <v>0.11464407111074026</v>
      </c>
      <c r="R23" s="317" t="s">
        <v>344</v>
      </c>
      <c r="S23" s="316">
        <v>0.58134130123264183</v>
      </c>
      <c r="U23" s="338">
        <v>1964</v>
      </c>
      <c r="V23" s="339">
        <v>1.359</v>
      </c>
      <c r="W23" s="340">
        <v>0.66067087992221685</v>
      </c>
      <c r="X23" s="341" t="s">
        <v>372</v>
      </c>
      <c r="Y23" s="341" t="s">
        <v>372</v>
      </c>
      <c r="Z23" s="339">
        <v>2.0569999999999999</v>
      </c>
      <c r="AA23" s="342">
        <v>0.18727272727272729</v>
      </c>
      <c r="AB23" s="339">
        <v>2.2599999999999998</v>
      </c>
    </row>
    <row r="24" spans="1:28">
      <c r="A24" s="271" t="s">
        <v>316</v>
      </c>
      <c r="B24" s="282">
        <f>B18+B21</f>
        <v>14.35</v>
      </c>
      <c r="C24" s="282">
        <f t="shared" ref="C24:D24" si="8">C18+C21</f>
        <v>10.09</v>
      </c>
      <c r="D24" s="282">
        <f t="shared" si="8"/>
        <v>12.300940000000001</v>
      </c>
      <c r="E24" s="282" t="s">
        <v>308</v>
      </c>
      <c r="F24" s="284">
        <f>D24*(USD_BaseYear/USD_2007)</f>
        <v>12.955476200969795</v>
      </c>
      <c r="G24" s="284">
        <f t="shared" si="6"/>
        <v>0.27574787007836138</v>
      </c>
      <c r="H24" s="282"/>
      <c r="I24" s="281"/>
      <c r="K24" s="313">
        <v>1957</v>
      </c>
      <c r="L24" s="314">
        <v>7.977783561643836</v>
      </c>
      <c r="M24" s="314">
        <v>1.0065808219178083</v>
      </c>
      <c r="N24" s="314">
        <v>4.7069917808219177</v>
      </c>
      <c r="O24" s="314">
        <v>8.8090109589041088</v>
      </c>
      <c r="P24" s="315" t="s">
        <v>344</v>
      </c>
      <c r="Q24" s="316">
        <v>0.11426717784933176</v>
      </c>
      <c r="R24" s="317" t="s">
        <v>344</v>
      </c>
      <c r="S24" s="316">
        <v>0.59001246956015863</v>
      </c>
      <c r="U24" s="333">
        <v>1965</v>
      </c>
      <c r="V24" s="335">
        <v>1.48</v>
      </c>
      <c r="W24" s="336">
        <v>0.64700000000000002</v>
      </c>
      <c r="X24" s="337" t="s">
        <v>372</v>
      </c>
      <c r="Y24" s="337" t="s">
        <v>372</v>
      </c>
      <c r="Z24" s="335">
        <v>2.2799999999999998</v>
      </c>
      <c r="AA24" s="337" t="s">
        <v>372</v>
      </c>
      <c r="AB24" s="335">
        <v>2.4700000000000002</v>
      </c>
    </row>
    <row r="25" spans="1:28">
      <c r="A25" s="273"/>
      <c r="B25" s="273"/>
      <c r="C25" s="273"/>
      <c r="D25" s="273"/>
      <c r="E25" s="286"/>
      <c r="F25" s="286"/>
      <c r="G25" s="286"/>
      <c r="H25" s="282"/>
      <c r="K25" s="313">
        <v>1958</v>
      </c>
      <c r="L25" s="314">
        <v>7.5170849315068491</v>
      </c>
      <c r="M25" s="314">
        <v>1.4245232876712328</v>
      </c>
      <c r="N25" s="314">
        <v>4.8333342465753422</v>
      </c>
      <c r="O25" s="314">
        <v>9.1177890410958895</v>
      </c>
      <c r="P25" s="315" t="s">
        <v>344</v>
      </c>
      <c r="Q25" s="316">
        <v>0.15623560506287124</v>
      </c>
      <c r="R25" s="317" t="s">
        <v>344</v>
      </c>
      <c r="S25" s="316">
        <v>0.64297986395192541</v>
      </c>
      <c r="U25" s="343">
        <v>1966</v>
      </c>
      <c r="V25" s="344">
        <v>1.47</v>
      </c>
      <c r="W25" s="345">
        <v>0.61894736842105258</v>
      </c>
      <c r="X25" s="341" t="s">
        <v>372</v>
      </c>
      <c r="Y25" s="341" t="s">
        <v>372</v>
      </c>
      <c r="Z25" s="344">
        <v>2.375</v>
      </c>
      <c r="AA25" s="342">
        <v>0.19701986754966885</v>
      </c>
      <c r="AB25" s="344">
        <v>2.57</v>
      </c>
    </row>
    <row r="26" spans="1:28">
      <c r="A26" s="959" t="s">
        <v>317</v>
      </c>
      <c r="B26" s="959"/>
      <c r="C26" s="959"/>
      <c r="D26" s="959"/>
      <c r="E26" s="959"/>
      <c r="F26" s="959"/>
      <c r="G26" s="959"/>
      <c r="H26" s="282"/>
      <c r="K26" s="313">
        <v>1959</v>
      </c>
      <c r="L26" s="314">
        <v>7.9324575342465753</v>
      </c>
      <c r="M26" s="314">
        <v>1.5685369863013698</v>
      </c>
      <c r="N26" s="314">
        <v>5.0072109589041096</v>
      </c>
      <c r="O26" s="314">
        <v>9.5265013698630145</v>
      </c>
      <c r="P26" s="315" t="s">
        <v>344</v>
      </c>
      <c r="Q26" s="316">
        <v>0.16464984629755261</v>
      </c>
      <c r="R26" s="317" t="s">
        <v>344</v>
      </c>
      <c r="S26" s="316">
        <v>0.63123072985725026</v>
      </c>
      <c r="U26" s="343">
        <v>1967</v>
      </c>
      <c r="V26" s="344">
        <v>1.258</v>
      </c>
      <c r="W26" s="345">
        <v>0.56412556053811658</v>
      </c>
      <c r="X26" s="341" t="s">
        <v>372</v>
      </c>
      <c r="Y26" s="341" t="s">
        <v>372</v>
      </c>
      <c r="Z26" s="344">
        <v>2.23</v>
      </c>
      <c r="AA26" s="342">
        <v>0.17754777070063693</v>
      </c>
      <c r="AB26" s="344">
        <v>2.54</v>
      </c>
    </row>
    <row r="27" spans="1:28">
      <c r="A27" s="274"/>
      <c r="B27" s="274"/>
      <c r="C27" s="274"/>
      <c r="D27" s="274"/>
      <c r="E27" s="274"/>
      <c r="F27" s="274"/>
      <c r="G27" s="274"/>
      <c r="K27" s="313">
        <v>1960</v>
      </c>
      <c r="L27" s="309">
        <v>7.9865479452054799</v>
      </c>
      <c r="M27" s="309">
        <v>1.617</v>
      </c>
      <c r="N27" s="309">
        <v>5.1495315068493159</v>
      </c>
      <c r="O27" s="309">
        <v>9.8241643835616426</v>
      </c>
      <c r="P27" s="309">
        <v>21.34</v>
      </c>
      <c r="Q27" s="311">
        <v>0.1645941514074884</v>
      </c>
      <c r="R27" s="311">
        <v>0.46036384177889611</v>
      </c>
      <c r="S27" s="311">
        <v>0.64477563299932428</v>
      </c>
      <c r="U27" s="343">
        <v>1968</v>
      </c>
      <c r="V27" s="344">
        <v>1.302</v>
      </c>
      <c r="W27" s="345">
        <v>0.4990417784591798</v>
      </c>
      <c r="X27" s="341" t="s">
        <v>372</v>
      </c>
      <c r="Y27" s="341" t="s">
        <v>372</v>
      </c>
      <c r="Z27" s="344">
        <v>2.609</v>
      </c>
      <c r="AA27" s="342">
        <v>0.19492158327109782</v>
      </c>
      <c r="AB27" s="344">
        <v>2.84</v>
      </c>
    </row>
    <row r="28" spans="1:28" ht="30">
      <c r="A28" s="585" t="s">
        <v>318</v>
      </c>
      <c r="B28" s="586"/>
      <c r="C28" s="586"/>
      <c r="D28" s="586"/>
      <c r="E28" s="586"/>
      <c r="F28" s="586" t="s">
        <v>382</v>
      </c>
      <c r="G28" s="586" t="s">
        <v>383</v>
      </c>
      <c r="H28" s="586" t="s">
        <v>384</v>
      </c>
      <c r="I28" s="587" t="s">
        <v>383</v>
      </c>
      <c r="K28" s="313">
        <v>1961</v>
      </c>
      <c r="L28" s="314">
        <v>8.1738273972602737</v>
      </c>
      <c r="M28" s="314">
        <v>1.7427479452054795</v>
      </c>
      <c r="N28" s="314">
        <v>5.2517863013698634</v>
      </c>
      <c r="O28" s="314">
        <v>9.976109589041096</v>
      </c>
      <c r="P28" s="314">
        <v>23</v>
      </c>
      <c r="Q28" s="316">
        <v>0.17469214122506371</v>
      </c>
      <c r="R28" s="316">
        <v>0.43374389517569983</v>
      </c>
      <c r="S28" s="316">
        <v>0.64251250315490782</v>
      </c>
      <c r="U28" s="343">
        <v>1969</v>
      </c>
      <c r="V28" s="344">
        <v>1.3360000000000001</v>
      </c>
      <c r="W28" s="345">
        <v>0.4555063075349472</v>
      </c>
      <c r="X28" s="341" t="s">
        <v>372</v>
      </c>
      <c r="Y28" s="341" t="s">
        <v>372</v>
      </c>
      <c r="Z28" s="344">
        <v>2.9329999999999998</v>
      </c>
      <c r="AA28" s="342">
        <v>0.20721357850070721</v>
      </c>
      <c r="AB28" s="344">
        <v>3.17</v>
      </c>
    </row>
    <row r="29" spans="1:28">
      <c r="A29" s="275" t="s">
        <v>319</v>
      </c>
      <c r="B29" s="288">
        <v>330000000000</v>
      </c>
      <c r="C29" s="288"/>
      <c r="D29" s="288"/>
      <c r="E29" s="289" t="s">
        <v>320</v>
      </c>
      <c r="F29" s="288">
        <f>(B29*(USD_BaseYear/USD_2007))/($Z$67*1000000*365)</f>
        <v>85.677298386170023</v>
      </c>
      <c r="G29" s="290">
        <f>F29 * ealloc_perbbloil_to_pergalgas</f>
        <v>1.8235788617547006</v>
      </c>
      <c r="H29" s="291">
        <f>F29</f>
        <v>85.677298386170023</v>
      </c>
      <c r="I29" s="292">
        <f>H29 * ealloc_perbbloil_to_pergalgas</f>
        <v>1.8235788617547006</v>
      </c>
      <c r="K29" s="313">
        <v>1962</v>
      </c>
      <c r="L29" s="314">
        <v>8.3531342465753422</v>
      </c>
      <c r="M29" s="314">
        <v>1.9134328767123288</v>
      </c>
      <c r="N29" s="314">
        <v>5.4804602739726027</v>
      </c>
      <c r="O29" s="314">
        <v>10.400079452054795</v>
      </c>
      <c r="P29" s="314">
        <v>24.89</v>
      </c>
      <c r="Q29" s="316">
        <v>0.18398252489641148</v>
      </c>
      <c r="R29" s="316">
        <v>0.41784168148070688</v>
      </c>
      <c r="S29" s="316">
        <v>0.65609627622344369</v>
      </c>
      <c r="U29" s="333">
        <v>1970</v>
      </c>
      <c r="V29" s="335">
        <v>1.34</v>
      </c>
      <c r="W29" s="336">
        <v>0.42499999999999999</v>
      </c>
      <c r="X29" s="337" t="s">
        <v>372</v>
      </c>
      <c r="Y29" s="337" t="s">
        <v>372</v>
      </c>
      <c r="Z29" s="335">
        <v>3.16</v>
      </c>
      <c r="AA29" s="337" t="s">
        <v>372</v>
      </c>
      <c r="AB29" s="335">
        <v>3.42</v>
      </c>
    </row>
    <row r="30" spans="1:28">
      <c r="A30" s="275" t="s">
        <v>321</v>
      </c>
      <c r="B30" s="288">
        <v>75000000000</v>
      </c>
      <c r="C30" s="288"/>
      <c r="D30" s="288"/>
      <c r="E30" s="289" t="s">
        <v>320</v>
      </c>
      <c r="F30" s="288">
        <f>(B30*(USD_BaseYear/USD_2007))/($Z$67*1000000*365)</f>
        <v>19.472113269584092</v>
      </c>
      <c r="G30" s="290">
        <f>F30 * ealloc_perbbloil_to_pergalgas</f>
        <v>0.41444974130788648</v>
      </c>
      <c r="H30" s="288">
        <f>(B30*(USD_BaseYear/USD_2007))/($O$75*1000000*365)</f>
        <v>11.098105993751672</v>
      </c>
      <c r="I30" s="292">
        <f>H30 * ealloc_perbbloil_to_pergalgas</f>
        <v>0.23621509871260768</v>
      </c>
      <c r="K30" s="313">
        <v>1963</v>
      </c>
      <c r="L30" s="314">
        <v>8.6400246575342461</v>
      </c>
      <c r="M30" s="314">
        <v>1.9145178082191781</v>
      </c>
      <c r="N30" s="314">
        <v>5.68267397260274</v>
      </c>
      <c r="O30" s="314">
        <v>10.74346301369863</v>
      </c>
      <c r="P30" s="314">
        <v>26.92</v>
      </c>
      <c r="Q30" s="316">
        <v>0.17820304363481687</v>
      </c>
      <c r="R30" s="316">
        <v>0.39908852205418383</v>
      </c>
      <c r="S30" s="316">
        <v>0.65771501793659271</v>
      </c>
      <c r="U30" s="343">
        <v>1971</v>
      </c>
      <c r="V30" s="344">
        <v>1.671</v>
      </c>
      <c r="W30" s="345">
        <v>0.45149959470413403</v>
      </c>
      <c r="X30" s="341" t="s">
        <v>372</v>
      </c>
      <c r="Y30" s="341" t="s">
        <v>372</v>
      </c>
      <c r="Z30" s="344">
        <v>3.7010000000000001</v>
      </c>
      <c r="AA30" s="342">
        <v>0.24326101249178173</v>
      </c>
      <c r="AB30" s="344">
        <v>3.93</v>
      </c>
    </row>
    <row r="31" spans="1:28">
      <c r="A31" s="275" t="s">
        <v>322</v>
      </c>
      <c r="B31" s="288">
        <v>150000000000</v>
      </c>
      <c r="C31" s="288"/>
      <c r="D31" s="288"/>
      <c r="E31" s="289" t="s">
        <v>320</v>
      </c>
      <c r="F31" s="288">
        <f>(B31*(USD_BaseYear/USD_2007))/($Z$67*1000000*365)</f>
        <v>38.944226539168184</v>
      </c>
      <c r="G31" s="290">
        <f>F31 * ealloc_perbbloil_to_pergalgas</f>
        <v>0.82889948261577295</v>
      </c>
      <c r="H31" s="288">
        <f>(B31*(USD_BaseYear/USD_2007))/($O$75*1000000*365)</f>
        <v>22.196211987503343</v>
      </c>
      <c r="I31" s="292">
        <f>H31 * ealloc_perbbloil_to_pergalgas</f>
        <v>0.47243019742521536</v>
      </c>
      <c r="K31" s="313">
        <v>1964</v>
      </c>
      <c r="L31" s="314">
        <v>8.7925835616438359</v>
      </c>
      <c r="M31" s="314">
        <v>2.0626219178082192</v>
      </c>
      <c r="N31" s="314">
        <v>5.8459945205479453</v>
      </c>
      <c r="O31" s="314">
        <v>11.052701369863014</v>
      </c>
      <c r="P31" s="314">
        <v>29.08</v>
      </c>
      <c r="Q31" s="316">
        <v>0.18661699513860866</v>
      </c>
      <c r="R31" s="316">
        <v>0.38007913926626596</v>
      </c>
      <c r="S31" s="316">
        <v>0.66487790301477612</v>
      </c>
      <c r="U31" s="343">
        <v>1972</v>
      </c>
      <c r="V31" s="344">
        <v>2.0609999999999999</v>
      </c>
      <c r="W31" s="345">
        <v>0.45607435273290547</v>
      </c>
      <c r="X31" s="341" t="s">
        <v>372</v>
      </c>
      <c r="Y31" s="341" t="s">
        <v>372</v>
      </c>
      <c r="Z31" s="344">
        <v>4.5190000000000001</v>
      </c>
      <c r="AA31" s="342">
        <v>0.275441803778184</v>
      </c>
      <c r="AB31" s="344">
        <v>4.74</v>
      </c>
    </row>
    <row r="32" spans="1:28" ht="30">
      <c r="A32" s="276" t="s">
        <v>323</v>
      </c>
      <c r="B32" s="293">
        <f>SUM(B29:B31)</f>
        <v>555000000000</v>
      </c>
      <c r="C32" s="293"/>
      <c r="D32" s="293"/>
      <c r="E32" s="294" t="s">
        <v>320</v>
      </c>
      <c r="F32" s="293">
        <f>(B32*(USD_BaseYear/USD_2007))/($Z$67*1000000*365)</f>
        <v>144.09363819492231</v>
      </c>
      <c r="G32" s="295">
        <f>F32 * ealloc_perbbloil_to_pergalgas</f>
        <v>3.0669280856783603</v>
      </c>
      <c r="H32" s="296">
        <f>SUM(H29:H31)</f>
        <v>118.97161636742504</v>
      </c>
      <c r="I32" s="297">
        <f>H32 * ealloc_perbbloil_to_pergalgas</f>
        <v>2.5322241578925238</v>
      </c>
      <c r="K32" s="313">
        <v>1965</v>
      </c>
      <c r="L32" s="314">
        <v>9.0138904109589042</v>
      </c>
      <c r="M32" s="314">
        <v>2.2807780821917807</v>
      </c>
      <c r="N32" s="314">
        <v>6.0355178082191774</v>
      </c>
      <c r="O32" s="314">
        <v>11.512435616438355</v>
      </c>
      <c r="P32" s="314">
        <v>31.14</v>
      </c>
      <c r="Q32" s="316">
        <v>0.19811429641657302</v>
      </c>
      <c r="R32" s="316">
        <v>0.36969928119583667</v>
      </c>
      <c r="S32" s="316">
        <v>0.66957967459658907</v>
      </c>
      <c r="U32" s="343">
        <v>1973</v>
      </c>
      <c r="V32" s="344">
        <v>2.9910000000000001</v>
      </c>
      <c r="W32" s="345">
        <v>0.49643153526970951</v>
      </c>
      <c r="X32" s="343">
        <v>0.85</v>
      </c>
      <c r="Y32" s="342">
        <v>0.13600000000000001</v>
      </c>
      <c r="Z32" s="344">
        <v>6.0250000000000004</v>
      </c>
      <c r="AA32" s="342">
        <v>0.34835355285961878</v>
      </c>
      <c r="AB32" s="344">
        <v>6.26</v>
      </c>
    </row>
    <row r="33" spans="1:28">
      <c r="A33" s="274"/>
      <c r="B33" s="282"/>
      <c r="C33" s="282"/>
      <c r="D33" s="282"/>
      <c r="E33" s="274"/>
      <c r="F33" s="274"/>
      <c r="G33" s="274"/>
      <c r="K33" s="313">
        <v>1966</v>
      </c>
      <c r="L33" s="314">
        <v>9.5791753424657529</v>
      </c>
      <c r="M33" s="314">
        <v>2.374690410958904</v>
      </c>
      <c r="N33" s="314">
        <v>6.356684931506849</v>
      </c>
      <c r="O33" s="314">
        <v>12.084372602739727</v>
      </c>
      <c r="P33" s="314">
        <v>33.56</v>
      </c>
      <c r="Q33" s="316">
        <v>0.19650920151374035</v>
      </c>
      <c r="R33" s="316">
        <v>0.3600826162914102</v>
      </c>
      <c r="S33" s="316">
        <v>0.6635941721754296</v>
      </c>
      <c r="U33" s="343">
        <v>1974</v>
      </c>
      <c r="V33" s="344">
        <v>3.2770000000000001</v>
      </c>
      <c r="W33" s="345">
        <v>0.55617786829599458</v>
      </c>
      <c r="X33" s="341" t="s">
        <v>372</v>
      </c>
      <c r="Y33" s="341" t="s">
        <v>372</v>
      </c>
      <c r="Z33" s="344">
        <v>5.8920000000000003</v>
      </c>
      <c r="AA33" s="342">
        <v>0.35375375375375379</v>
      </c>
      <c r="AB33" s="344">
        <v>6.11</v>
      </c>
    </row>
    <row r="34" spans="1:28">
      <c r="B34" s="282"/>
      <c r="C34" s="282"/>
      <c r="D34" s="282"/>
      <c r="K34" s="313">
        <v>1967</v>
      </c>
      <c r="L34" s="314">
        <v>10.219717808219178</v>
      </c>
      <c r="M34" s="314">
        <v>2.2299479452054793</v>
      </c>
      <c r="N34" s="314">
        <v>6.6634739726027403</v>
      </c>
      <c r="O34" s="314">
        <v>12.560345205479452</v>
      </c>
      <c r="P34" s="314">
        <v>35.590000000000003</v>
      </c>
      <c r="Q34" s="316">
        <v>0.1775387466446913</v>
      </c>
      <c r="R34" s="316">
        <v>0.35291781976621106</v>
      </c>
      <c r="S34" s="316">
        <v>0.65202132755991182</v>
      </c>
      <c r="U34" s="333">
        <v>1975</v>
      </c>
      <c r="V34" s="335">
        <v>3.6</v>
      </c>
      <c r="W34" s="336">
        <v>0.61599999999999999</v>
      </c>
      <c r="X34" s="338">
        <v>1.17</v>
      </c>
      <c r="Y34" s="346">
        <v>0.192</v>
      </c>
      <c r="Z34" s="335">
        <v>5.85</v>
      </c>
      <c r="AA34" s="336">
        <v>0.35799999999999998</v>
      </c>
      <c r="AB34" s="335">
        <v>6.06</v>
      </c>
    </row>
    <row r="35" spans="1:28">
      <c r="B35" s="282"/>
      <c r="C35" s="282"/>
      <c r="D35" s="282"/>
      <c r="K35" s="313">
        <v>1968</v>
      </c>
      <c r="L35" s="314">
        <v>10.628364383561644</v>
      </c>
      <c r="M35" s="314">
        <v>2.615958904109589</v>
      </c>
      <c r="N35" s="314">
        <v>7.2180027397260274</v>
      </c>
      <c r="O35" s="314">
        <v>13.429558904109587</v>
      </c>
      <c r="P35" s="314">
        <v>38.96</v>
      </c>
      <c r="Q35" s="316">
        <v>0.19479112626022868</v>
      </c>
      <c r="R35" s="316">
        <v>0.34470120390425019</v>
      </c>
      <c r="S35" s="316">
        <v>0.67912639040582279</v>
      </c>
      <c r="U35" s="343">
        <v>1976</v>
      </c>
      <c r="V35" s="344">
        <v>5.0629999999999997</v>
      </c>
      <c r="W35" s="345">
        <v>0.71410437235543012</v>
      </c>
      <c r="X35" s="341" t="s">
        <v>372</v>
      </c>
      <c r="Y35" s="341" t="s">
        <v>372</v>
      </c>
      <c r="Z35" s="344">
        <v>7.09</v>
      </c>
      <c r="AA35" s="345">
        <v>0.40491147915476866</v>
      </c>
      <c r="AB35" s="344">
        <v>7.31</v>
      </c>
    </row>
    <row r="36" spans="1:28">
      <c r="A36" s="279" t="s">
        <v>581</v>
      </c>
      <c r="B36" s="280">
        <f>Q76</f>
        <v>0.51900000000000002</v>
      </c>
      <c r="C36" s="282"/>
      <c r="D36" s="282"/>
      <c r="K36" s="313">
        <v>1969</v>
      </c>
      <c r="L36" s="314">
        <v>10.827375342465754</v>
      </c>
      <c r="M36" s="314">
        <v>2.9333315068493153</v>
      </c>
      <c r="N36" s="314">
        <v>7.5243945205479452</v>
      </c>
      <c r="O36" s="314">
        <v>14.136794520547944</v>
      </c>
      <c r="P36" s="314">
        <v>42.89</v>
      </c>
      <c r="Q36" s="316">
        <v>0.2074962257239924</v>
      </c>
      <c r="R36" s="316">
        <v>0.32960584100135099</v>
      </c>
      <c r="S36" s="316">
        <v>0.69494169016536467</v>
      </c>
      <c r="U36" s="343">
        <v>1977</v>
      </c>
      <c r="V36" s="344">
        <v>6.19</v>
      </c>
      <c r="W36" s="345">
        <v>0.72270869819030947</v>
      </c>
      <c r="X36" s="341" t="s">
        <v>372</v>
      </c>
      <c r="Y36" s="341" t="s">
        <v>372</v>
      </c>
      <c r="Z36" s="344">
        <v>8.5649999999999995</v>
      </c>
      <c r="AA36" s="345">
        <v>0.46500271296798701</v>
      </c>
      <c r="AB36" s="344">
        <v>8.81</v>
      </c>
    </row>
    <row r="37" spans="1:28">
      <c r="K37" s="313">
        <v>1970</v>
      </c>
      <c r="L37" s="314">
        <v>11.296893150684932</v>
      </c>
      <c r="M37" s="314">
        <v>3.160558904109589</v>
      </c>
      <c r="N37" s="314">
        <v>7.7782219178082199</v>
      </c>
      <c r="O37" s="314">
        <v>14.697186301369863</v>
      </c>
      <c r="P37" s="314">
        <v>46.81</v>
      </c>
      <c r="Q37" s="316">
        <v>0.21504516846295993</v>
      </c>
      <c r="R37" s="316">
        <v>0.3139753535861966</v>
      </c>
      <c r="S37" s="316">
        <v>0.68852752823785235</v>
      </c>
      <c r="U37" s="343">
        <v>1978</v>
      </c>
      <c r="V37" s="344">
        <v>5.7469999999999999</v>
      </c>
      <c r="W37" s="345">
        <v>0.71819545113721561</v>
      </c>
      <c r="X37" s="341" t="s">
        <v>372</v>
      </c>
      <c r="Y37" s="341" t="s">
        <v>372</v>
      </c>
      <c r="Z37" s="344">
        <v>8.0020000000000007</v>
      </c>
      <c r="AA37" s="345">
        <v>0.42440318302387264</v>
      </c>
      <c r="AB37" s="344">
        <v>8.36</v>
      </c>
    </row>
    <row r="38" spans="1:28">
      <c r="K38" s="313">
        <v>1971</v>
      </c>
      <c r="L38" s="314">
        <v>11.155421917808219</v>
      </c>
      <c r="M38" s="314">
        <v>3.7014657534246576</v>
      </c>
      <c r="N38" s="314">
        <v>8.0949041095890415</v>
      </c>
      <c r="O38" s="314">
        <v>15.212493150684931</v>
      </c>
      <c r="P38" s="314">
        <v>49.42</v>
      </c>
      <c r="Q38" s="316">
        <v>0.24331749679427148</v>
      </c>
      <c r="R38" s="316">
        <v>0.30782058176213944</v>
      </c>
      <c r="S38" s="316">
        <v>0.72564750748392148</v>
      </c>
      <c r="U38" s="343">
        <v>1979</v>
      </c>
      <c r="V38" s="344">
        <v>5.633</v>
      </c>
      <c r="W38" s="345">
        <v>0.70544771446462118</v>
      </c>
      <c r="X38" s="341" t="s">
        <v>372</v>
      </c>
      <c r="Y38" s="341" t="s">
        <v>372</v>
      </c>
      <c r="Z38" s="344">
        <v>7.9850000000000003</v>
      </c>
      <c r="AA38" s="345">
        <v>0.43165856293895188</v>
      </c>
      <c r="AB38" s="344">
        <v>8.4600000000000009</v>
      </c>
    </row>
    <row r="39" spans="1:28">
      <c r="K39" s="313">
        <v>1972</v>
      </c>
      <c r="L39" s="314">
        <v>11.215298630136985</v>
      </c>
      <c r="M39" s="314">
        <v>4.531301369863014</v>
      </c>
      <c r="N39" s="314">
        <v>8.5894054794520542</v>
      </c>
      <c r="O39" s="314">
        <v>16.411824657534247</v>
      </c>
      <c r="P39" s="314">
        <v>53.09</v>
      </c>
      <c r="Q39" s="316">
        <v>0.27609979173051974</v>
      </c>
      <c r="R39" s="316">
        <v>0.30913212766122145</v>
      </c>
      <c r="S39" s="316">
        <v>0.76586507080348176</v>
      </c>
      <c r="U39" s="333">
        <v>1980</v>
      </c>
      <c r="V39" s="335">
        <v>4.3</v>
      </c>
      <c r="W39" s="336">
        <v>0.622</v>
      </c>
      <c r="X39" s="338">
        <v>1.52</v>
      </c>
      <c r="Y39" s="340">
        <v>0.22</v>
      </c>
      <c r="Z39" s="335">
        <v>6.36</v>
      </c>
      <c r="AA39" s="336">
        <v>0.373</v>
      </c>
      <c r="AB39" s="335">
        <v>6.91</v>
      </c>
    </row>
    <row r="40" spans="1:28">
      <c r="K40" s="313">
        <v>1973</v>
      </c>
      <c r="L40" s="314">
        <v>10.95</v>
      </c>
      <c r="M40" s="314">
        <v>6.02</v>
      </c>
      <c r="N40" s="314">
        <v>9.0542904109589042</v>
      </c>
      <c r="O40" s="314">
        <v>17.308</v>
      </c>
      <c r="P40" s="314">
        <v>57.24</v>
      </c>
      <c r="Q40" s="316">
        <v>0.34781603882597639</v>
      </c>
      <c r="R40" s="316">
        <v>0.3023759608665269</v>
      </c>
      <c r="S40" s="316">
        <v>0.82687583661725161</v>
      </c>
      <c r="U40" s="333">
        <v>1981</v>
      </c>
      <c r="V40" s="335">
        <v>3.32</v>
      </c>
      <c r="W40" s="336">
        <v>0.55400000000000005</v>
      </c>
      <c r="X40" s="335">
        <v>1.22</v>
      </c>
      <c r="Y40" s="336">
        <v>0.20300000000000001</v>
      </c>
      <c r="Z40" s="335">
        <v>5.4</v>
      </c>
      <c r="AA40" s="336">
        <v>0.33600000000000002</v>
      </c>
      <c r="AB40" s="335">
        <v>6</v>
      </c>
    </row>
    <row r="41" spans="1:28">
      <c r="K41" s="313">
        <v>1974</v>
      </c>
      <c r="L41" s="314">
        <v>10.46</v>
      </c>
      <c r="M41" s="314">
        <v>5.8916602739726027</v>
      </c>
      <c r="N41" s="314">
        <v>8.8379589041095894</v>
      </c>
      <c r="O41" s="314">
        <v>16.652709589041095</v>
      </c>
      <c r="P41" s="314">
        <v>56.68</v>
      </c>
      <c r="Q41" s="316">
        <v>0.35379589384359517</v>
      </c>
      <c r="R41" s="316">
        <v>0.29380221575584148</v>
      </c>
      <c r="S41" s="316">
        <v>0.84492914953246545</v>
      </c>
      <c r="U41" s="333">
        <v>1982</v>
      </c>
      <c r="V41" s="335">
        <v>2.15</v>
      </c>
      <c r="W41" s="336">
        <v>0.42</v>
      </c>
      <c r="X41" s="335">
        <v>0.7</v>
      </c>
      <c r="Y41" s="336">
        <v>0.13700000000000001</v>
      </c>
      <c r="Z41" s="335">
        <v>4.3</v>
      </c>
      <c r="AA41" s="336">
        <v>0.28100000000000003</v>
      </c>
      <c r="AB41" s="335">
        <v>5.1100000000000003</v>
      </c>
    </row>
    <row r="42" spans="1:28" ht="30">
      <c r="B42" s="279" t="s">
        <v>590</v>
      </c>
      <c r="K42" s="313">
        <v>1975</v>
      </c>
      <c r="L42" s="314">
        <v>10.01</v>
      </c>
      <c r="M42" s="314">
        <v>5.8463205479452052</v>
      </c>
      <c r="N42" s="314">
        <v>8.9505506849315069</v>
      </c>
      <c r="O42" s="314">
        <v>16.321958904109589</v>
      </c>
      <c r="P42" s="314">
        <v>56.2</v>
      </c>
      <c r="Q42" s="316">
        <v>0.35818743217599952</v>
      </c>
      <c r="R42" s="316">
        <v>0.29042631501974359</v>
      </c>
      <c r="S42" s="316">
        <v>0.8941609075855651</v>
      </c>
      <c r="U42" s="333">
        <v>1983</v>
      </c>
      <c r="V42" s="335">
        <v>1.86</v>
      </c>
      <c r="W42" s="336">
        <v>0.36899999999999999</v>
      </c>
      <c r="X42" s="335">
        <v>0.44</v>
      </c>
      <c r="Y42" s="336">
        <v>8.6999999999999994E-2</v>
      </c>
      <c r="Z42" s="335">
        <v>4.3099999999999996</v>
      </c>
      <c r="AA42" s="336">
        <v>0.28199999999999997</v>
      </c>
      <c r="AB42" s="335">
        <v>5.05</v>
      </c>
    </row>
    <row r="43" spans="1:28">
      <c r="B43" s="725"/>
      <c r="C43" s="960" t="s">
        <v>333</v>
      </c>
      <c r="D43" s="960"/>
      <c r="E43" s="960"/>
      <c r="F43" s="960" t="s">
        <v>585</v>
      </c>
      <c r="G43" s="960"/>
      <c r="H43" s="960"/>
      <c r="K43" s="313">
        <v>1976</v>
      </c>
      <c r="L43" s="314">
        <v>9.74</v>
      </c>
      <c r="M43" s="314">
        <v>7.09</v>
      </c>
      <c r="N43" s="314">
        <v>9.3976575342465747</v>
      </c>
      <c r="O43" s="314">
        <v>17.46</v>
      </c>
      <c r="P43" s="314">
        <v>59.67</v>
      </c>
      <c r="Q43" s="316">
        <v>0.40607101947308127</v>
      </c>
      <c r="R43" s="316">
        <v>0.29260935143288086</v>
      </c>
      <c r="S43" s="316">
        <v>0.96485190290005896</v>
      </c>
      <c r="U43" s="333">
        <v>1984</v>
      </c>
      <c r="V43" s="335">
        <v>2.0499999999999998</v>
      </c>
      <c r="W43" s="336">
        <v>0.377</v>
      </c>
      <c r="X43" s="335">
        <v>0.51</v>
      </c>
      <c r="Y43" s="336">
        <v>9.4E-2</v>
      </c>
      <c r="Z43" s="335">
        <v>4.72</v>
      </c>
      <c r="AA43" s="336">
        <v>0.29899999999999999</v>
      </c>
      <c r="AB43" s="335">
        <v>5.44</v>
      </c>
    </row>
    <row r="44" spans="1:28" ht="15.75" thickBot="1">
      <c r="B44" s="726"/>
      <c r="C44" s="727" t="s">
        <v>47</v>
      </c>
      <c r="D44" s="727" t="s">
        <v>586</v>
      </c>
      <c r="E44" s="727" t="s">
        <v>48</v>
      </c>
      <c r="F44" s="727" t="s">
        <v>47</v>
      </c>
      <c r="G44" s="727" t="s">
        <v>586</v>
      </c>
      <c r="H44" s="727" t="s">
        <v>48</v>
      </c>
      <c r="K44" s="313">
        <v>1977</v>
      </c>
      <c r="L44" s="314">
        <v>9.86</v>
      </c>
      <c r="M44" s="314">
        <v>8.5645424657534246</v>
      </c>
      <c r="N44" s="314">
        <v>9.7614958904109592</v>
      </c>
      <c r="O44" s="314">
        <v>18.431419178082194</v>
      </c>
      <c r="P44" s="314">
        <v>61.83</v>
      </c>
      <c r="Q44" s="316">
        <v>0.46467080928515742</v>
      </c>
      <c r="R44" s="316">
        <v>0.29809832084881444</v>
      </c>
      <c r="S44" s="316">
        <v>0.99000972519380925</v>
      </c>
      <c r="U44" s="333">
        <v>1985</v>
      </c>
      <c r="V44" s="335">
        <v>1.83</v>
      </c>
      <c r="W44" s="336">
        <v>0.36099999999999999</v>
      </c>
      <c r="X44" s="335">
        <v>0.31</v>
      </c>
      <c r="Y44" s="336">
        <v>6.0999999999999999E-2</v>
      </c>
      <c r="Z44" s="335">
        <v>4.29</v>
      </c>
      <c r="AA44" s="336">
        <v>0.27300000000000002</v>
      </c>
      <c r="AB44" s="335">
        <v>5.07</v>
      </c>
    </row>
    <row r="45" spans="1:28">
      <c r="B45" s="725" t="s">
        <v>587</v>
      </c>
      <c r="C45" s="728">
        <v>0.77</v>
      </c>
      <c r="D45" s="728">
        <v>3.65</v>
      </c>
      <c r="E45" s="728">
        <v>10.67</v>
      </c>
      <c r="F45" s="728">
        <v>1.03</v>
      </c>
      <c r="G45" s="728">
        <v>4.87</v>
      </c>
      <c r="H45" s="728">
        <v>14.1</v>
      </c>
      <c r="K45" s="313">
        <v>1978</v>
      </c>
      <c r="L45" s="314">
        <v>10.27</v>
      </c>
      <c r="M45" s="314">
        <v>8.0016109589041093</v>
      </c>
      <c r="N45" s="314">
        <v>10.159863013698629</v>
      </c>
      <c r="O45" s="314">
        <v>18.846621917808218</v>
      </c>
      <c r="P45" s="314">
        <v>64.16</v>
      </c>
      <c r="Q45" s="316">
        <v>0.42456473068753864</v>
      </c>
      <c r="R45" s="316">
        <v>0.29374410719775901</v>
      </c>
      <c r="S45" s="316">
        <v>0.98927585332995427</v>
      </c>
      <c r="U45" s="333">
        <v>1986</v>
      </c>
      <c r="V45" s="335">
        <v>2.84</v>
      </c>
      <c r="W45" s="336">
        <v>0.45600000000000002</v>
      </c>
      <c r="X45" s="335">
        <v>0.91</v>
      </c>
      <c r="Y45" s="336">
        <v>0.14599999999999999</v>
      </c>
      <c r="Z45" s="335">
        <v>5.44</v>
      </c>
      <c r="AA45" s="336">
        <v>0.33400000000000002</v>
      </c>
      <c r="AB45" s="335">
        <v>6.22</v>
      </c>
    </row>
    <row r="46" spans="1:28">
      <c r="B46" s="725" t="s">
        <v>588</v>
      </c>
      <c r="C46" s="728">
        <v>-0.57999999999999996</v>
      </c>
      <c r="D46" s="728">
        <v>-0.84</v>
      </c>
      <c r="E46" s="728">
        <v>-1.97</v>
      </c>
      <c r="F46" s="728">
        <v>7.0000000000000007E-2</v>
      </c>
      <c r="G46" s="728">
        <v>0.11</v>
      </c>
      <c r="H46" s="728">
        <v>0.25</v>
      </c>
      <c r="K46" s="313">
        <v>1979</v>
      </c>
      <c r="L46" s="314">
        <v>10.14</v>
      </c>
      <c r="M46" s="314">
        <v>7.9852904109589042</v>
      </c>
      <c r="N46" s="314">
        <v>10.005386301369862</v>
      </c>
      <c r="O46" s="314">
        <v>18.512539726027395</v>
      </c>
      <c r="P46" s="314">
        <v>65.22</v>
      </c>
      <c r="Q46" s="316">
        <v>0.43134494397503542</v>
      </c>
      <c r="R46" s="316">
        <v>0.28384758856221093</v>
      </c>
      <c r="S46" s="316">
        <v>0.98672448731458196</v>
      </c>
      <c r="U46" s="333">
        <v>1987</v>
      </c>
      <c r="V46" s="335">
        <v>3.06</v>
      </c>
      <c r="W46" s="336">
        <v>0.45800000000000002</v>
      </c>
      <c r="X46" s="335">
        <v>1.08</v>
      </c>
      <c r="Y46" s="336">
        <v>0.16200000000000001</v>
      </c>
      <c r="Z46" s="335">
        <v>5.91</v>
      </c>
      <c r="AA46" s="336">
        <v>0.35399999999999998</v>
      </c>
      <c r="AB46" s="335">
        <v>6.68</v>
      </c>
    </row>
    <row r="47" spans="1:28">
      <c r="B47" s="725" t="s">
        <v>589</v>
      </c>
      <c r="C47" s="728">
        <v>0.19</v>
      </c>
      <c r="D47" s="728">
        <v>2.81</v>
      </c>
      <c r="E47" s="728">
        <v>8.6999999999999993</v>
      </c>
      <c r="F47" s="728">
        <v>1.1000000000000001</v>
      </c>
      <c r="G47" s="728">
        <v>4.9800000000000004</v>
      </c>
      <c r="H47" s="728">
        <v>14.25</v>
      </c>
      <c r="K47" s="313">
        <v>1980</v>
      </c>
      <c r="L47" s="314">
        <v>10.17</v>
      </c>
      <c r="M47" s="314">
        <v>6.36</v>
      </c>
      <c r="N47" s="314">
        <v>9.5725041095890404</v>
      </c>
      <c r="O47" s="314">
        <v>17.056000000000001</v>
      </c>
      <c r="P47" s="314">
        <v>63.113999999999997</v>
      </c>
      <c r="Q47" s="316">
        <v>0.37288930581613511</v>
      </c>
      <c r="R47" s="316">
        <v>0.27024115093323198</v>
      </c>
      <c r="S47" s="316">
        <v>0.94124917498417315</v>
      </c>
      <c r="U47" s="333">
        <v>1988</v>
      </c>
      <c r="V47" s="335">
        <v>3.52</v>
      </c>
      <c r="W47" s="336">
        <v>0.47599999999999998</v>
      </c>
      <c r="X47" s="335">
        <v>1.54</v>
      </c>
      <c r="Y47" s="336">
        <v>0.20799999999999999</v>
      </c>
      <c r="Z47" s="335">
        <v>6.59</v>
      </c>
      <c r="AA47" s="336">
        <v>0.38</v>
      </c>
      <c r="AB47" s="335">
        <v>7.4</v>
      </c>
    </row>
    <row r="48" spans="1:28">
      <c r="K48" s="313">
        <v>1981</v>
      </c>
      <c r="L48" s="314">
        <v>10.18</v>
      </c>
      <c r="M48" s="314">
        <v>5.4010849315068494</v>
      </c>
      <c r="N48" s="314">
        <v>9.4869506849315073</v>
      </c>
      <c r="O48" s="314">
        <v>16.057693150684933</v>
      </c>
      <c r="P48" s="314">
        <v>60.944000000000003</v>
      </c>
      <c r="Q48" s="316">
        <v>0.336354972088657</v>
      </c>
      <c r="R48" s="316">
        <v>0.26348275713253039</v>
      </c>
      <c r="S48" s="316">
        <v>0.93192049950211275</v>
      </c>
      <c r="U48" s="333">
        <v>1989</v>
      </c>
      <c r="V48" s="335">
        <v>4.1399999999999997</v>
      </c>
      <c r="W48" s="336">
        <v>0.51400000000000001</v>
      </c>
      <c r="X48" s="335">
        <v>1.86</v>
      </c>
      <c r="Y48" s="336">
        <v>0.23100000000000001</v>
      </c>
      <c r="Z48" s="335">
        <v>7.2</v>
      </c>
      <c r="AA48" s="336">
        <v>0.41299999999999998</v>
      </c>
      <c r="AB48" s="335">
        <v>8.06</v>
      </c>
    </row>
    <row r="49" spans="2:28">
      <c r="K49" s="313">
        <v>1982</v>
      </c>
      <c r="L49" s="314">
        <v>10.199999999999999</v>
      </c>
      <c r="M49" s="314">
        <v>4.298202739726027</v>
      </c>
      <c r="N49" s="314">
        <v>9.3070027397260269</v>
      </c>
      <c r="O49" s="314">
        <v>15.295720547945207</v>
      </c>
      <c r="P49" s="314">
        <v>59.542999999999999</v>
      </c>
      <c r="Q49" s="316">
        <v>0.28100688203952823</v>
      </c>
      <c r="R49" s="316">
        <v>0.25688528538946992</v>
      </c>
      <c r="S49" s="316">
        <v>0.91245124899274777</v>
      </c>
      <c r="U49" s="333">
        <v>1990</v>
      </c>
      <c r="V49" s="335">
        <v>4.3</v>
      </c>
      <c r="W49" s="336">
        <v>0.53600000000000003</v>
      </c>
      <c r="X49" s="335">
        <v>1.97</v>
      </c>
      <c r="Y49" s="336">
        <v>0.246</v>
      </c>
      <c r="Z49" s="335">
        <v>7.16</v>
      </c>
      <c r="AA49" s="336">
        <v>0.42199999999999999</v>
      </c>
      <c r="AB49" s="335">
        <v>8.02</v>
      </c>
    </row>
    <row r="50" spans="2:28" ht="45">
      <c r="B50" s="279" t="s">
        <v>591</v>
      </c>
      <c r="K50" s="313">
        <v>1983</v>
      </c>
      <c r="L50" s="314">
        <v>10.25</v>
      </c>
      <c r="M50" s="314">
        <v>4.3120273972602732</v>
      </c>
      <c r="N50" s="314">
        <v>9.4063452054794521</v>
      </c>
      <c r="O50" s="314">
        <v>15.231134246575342</v>
      </c>
      <c r="P50" s="314">
        <v>58.777999999999999</v>
      </c>
      <c r="Q50" s="316">
        <v>0.28310612508912886</v>
      </c>
      <c r="R50" s="316">
        <v>0.25912984869467048</v>
      </c>
      <c r="S50" s="316">
        <v>0.91769221516872701</v>
      </c>
      <c r="U50" s="333">
        <v>1991</v>
      </c>
      <c r="V50" s="335">
        <v>4.09</v>
      </c>
      <c r="W50" s="336">
        <v>0.53700000000000003</v>
      </c>
      <c r="X50" s="335">
        <v>1.84</v>
      </c>
      <c r="Y50" s="336">
        <v>0.24099999999999999</v>
      </c>
      <c r="Z50" s="335">
        <v>6.63</v>
      </c>
      <c r="AA50" s="336">
        <v>0.38900000000000001</v>
      </c>
      <c r="AB50" s="335">
        <v>7.63</v>
      </c>
    </row>
    <row r="51" spans="2:28">
      <c r="C51" s="961" t="str">
        <f t="shared" ref="C51:F51" si="9">C43</f>
        <v>Domestic</v>
      </c>
      <c r="D51" s="961"/>
      <c r="E51" s="961"/>
      <c r="F51" s="961" t="str">
        <f t="shared" si="9"/>
        <v>Imports</v>
      </c>
      <c r="G51" s="961"/>
      <c r="H51" s="961"/>
      <c r="K51" s="313">
        <v>1984</v>
      </c>
      <c r="L51" s="314">
        <v>10.51</v>
      </c>
      <c r="M51" s="314">
        <v>4.72</v>
      </c>
      <c r="N51" s="314">
        <v>9.7107041095890416</v>
      </c>
      <c r="O51" s="314">
        <v>15.73</v>
      </c>
      <c r="P51" s="314">
        <v>59.817</v>
      </c>
      <c r="Q51" s="316">
        <v>0.3000635727908455</v>
      </c>
      <c r="R51" s="316">
        <v>0.26296872126652959</v>
      </c>
      <c r="S51" s="316">
        <v>0.92394901137859575</v>
      </c>
      <c r="U51" s="333">
        <v>1992</v>
      </c>
      <c r="V51" s="335">
        <v>4.09</v>
      </c>
      <c r="W51" s="336">
        <v>0.51900000000000002</v>
      </c>
      <c r="X51" s="335">
        <v>1.78</v>
      </c>
      <c r="Y51" s="336">
        <v>0.22600000000000001</v>
      </c>
      <c r="Z51" s="335">
        <v>6.94</v>
      </c>
      <c r="AA51" s="336">
        <v>0.40899999999999997</v>
      </c>
      <c r="AB51" s="335">
        <v>7.89</v>
      </c>
    </row>
    <row r="52" spans="2:28">
      <c r="B52" s="273"/>
      <c r="C52" s="730" t="str">
        <f t="shared" ref="C52:H52" si="10">C44</f>
        <v>Low</v>
      </c>
      <c r="D52" s="730" t="str">
        <f t="shared" si="10"/>
        <v>Mid</v>
      </c>
      <c r="E52" s="730" t="str">
        <f t="shared" si="10"/>
        <v>High</v>
      </c>
      <c r="F52" s="730" t="str">
        <f t="shared" si="10"/>
        <v>Low</v>
      </c>
      <c r="G52" s="730" t="str">
        <f t="shared" si="10"/>
        <v>Mid</v>
      </c>
      <c r="H52" s="730" t="str">
        <f t="shared" si="10"/>
        <v>High</v>
      </c>
      <c r="K52" s="313">
        <v>1985</v>
      </c>
      <c r="L52" s="314">
        <v>10.58</v>
      </c>
      <c r="M52" s="314">
        <v>4.2861369863013694</v>
      </c>
      <c r="N52" s="314">
        <v>9.8384319590910696</v>
      </c>
      <c r="O52" s="314">
        <v>15.726419178082191</v>
      </c>
      <c r="P52" s="314">
        <v>60.082999999999998</v>
      </c>
      <c r="Q52" s="316">
        <v>0.27254373279550698</v>
      </c>
      <c r="R52" s="316">
        <v>0.26174490584827975</v>
      </c>
      <c r="S52" s="316">
        <v>0.92990850274962855</v>
      </c>
      <c r="U52" s="333">
        <v>1993</v>
      </c>
      <c r="V52" s="335">
        <v>4.2699999999999996</v>
      </c>
      <c r="W52" s="336">
        <v>0.496</v>
      </c>
      <c r="X52" s="335">
        <v>1.78</v>
      </c>
      <c r="Y52" s="336">
        <v>0.20599999999999999</v>
      </c>
      <c r="Z52" s="335">
        <v>7.62</v>
      </c>
      <c r="AA52" s="336">
        <v>0.44900000000000001</v>
      </c>
      <c r="AB52" s="335">
        <v>8.6199999999999992</v>
      </c>
    </row>
    <row r="53" spans="2:28">
      <c r="B53" s="279" t="str">
        <f t="shared" ref="B53" si="11">B45</f>
        <v>GDP loss</v>
      </c>
      <c r="C53" s="731">
        <f t="shared" ref="C53:H55" si="12">C45*USD_BaseYear/USD_2007</f>
        <v>0.81097189928141611</v>
      </c>
      <c r="D53" s="731">
        <f t="shared" si="12"/>
        <v>3.8442174446456736</v>
      </c>
      <c r="E53" s="731">
        <f t="shared" si="12"/>
        <v>11.237753461471051</v>
      </c>
      <c r="F53" s="731">
        <f t="shared" si="12"/>
        <v>1.084806566571245</v>
      </c>
      <c r="G53" s="731">
        <f t="shared" si="12"/>
        <v>5.1291339603902548</v>
      </c>
      <c r="H53" s="731">
        <f t="shared" si="12"/>
        <v>14.850264649179175</v>
      </c>
      <c r="K53" s="313">
        <v>1986</v>
      </c>
      <c r="L53" s="314">
        <v>10.23</v>
      </c>
      <c r="M53" s="314">
        <v>5.4389287671232882</v>
      </c>
      <c r="N53" s="314">
        <v>10.192278770279653</v>
      </c>
      <c r="O53" s="314">
        <v>16.280627397260275</v>
      </c>
      <c r="P53" s="314">
        <v>61.808999999999997</v>
      </c>
      <c r="Q53" s="316">
        <v>0.33407365910471964</v>
      </c>
      <c r="R53" s="316">
        <v>0.26340221322558649</v>
      </c>
      <c r="S53" s="316">
        <v>0.99631268526682826</v>
      </c>
      <c r="U53" s="333">
        <v>1994</v>
      </c>
      <c r="V53" s="335">
        <v>4.25</v>
      </c>
      <c r="W53" s="336">
        <v>0.47199999999999998</v>
      </c>
      <c r="X53" s="335">
        <v>1.73</v>
      </c>
      <c r="Y53" s="336">
        <v>0.192</v>
      </c>
      <c r="Z53" s="335">
        <v>8.0500000000000007</v>
      </c>
      <c r="AA53" s="336">
        <v>0.45700000000000002</v>
      </c>
      <c r="AB53" s="335">
        <v>9</v>
      </c>
    </row>
    <row r="54" spans="2:28">
      <c r="B54" s="279" t="str">
        <f t="shared" ref="B54" si="13">B46</f>
        <v>Wealth transfers</v>
      </c>
      <c r="C54" s="731">
        <f t="shared" si="12"/>
        <v>-0.61086195010807964</v>
      </c>
      <c r="D54" s="731">
        <f t="shared" si="12"/>
        <v>-0.8846966173979085</v>
      </c>
      <c r="E54" s="731">
        <f t="shared" si="12"/>
        <v>-2.074824209849857</v>
      </c>
      <c r="F54" s="731">
        <f t="shared" si="12"/>
        <v>7.372471811649238E-2</v>
      </c>
      <c r="G54" s="731">
        <f t="shared" si="12"/>
        <v>0.11585312846877371</v>
      </c>
      <c r="H54" s="731">
        <f t="shared" si="12"/>
        <v>0.26330256470175845</v>
      </c>
      <c r="K54" s="313">
        <v>1987</v>
      </c>
      <c r="L54" s="314">
        <v>9.94</v>
      </c>
      <c r="M54" s="314">
        <v>5.9140520547945208</v>
      </c>
      <c r="N54" s="314">
        <v>10.504944779053131</v>
      </c>
      <c r="O54" s="314">
        <v>16.665046575342465</v>
      </c>
      <c r="P54" s="314">
        <v>63.097000000000001</v>
      </c>
      <c r="Q54" s="316">
        <v>0.35487761933680567</v>
      </c>
      <c r="R54" s="316">
        <v>0.26411789110960054</v>
      </c>
      <c r="S54" s="316">
        <v>1.0568354908504156</v>
      </c>
      <c r="U54" s="333">
        <v>1995</v>
      </c>
      <c r="V54" s="335">
        <v>4</v>
      </c>
      <c r="W54" s="336">
        <v>0.45300000000000001</v>
      </c>
      <c r="X54" s="335">
        <v>1.57</v>
      </c>
      <c r="Y54" s="336">
        <v>0.17799999999999999</v>
      </c>
      <c r="Z54" s="335">
        <v>7.89</v>
      </c>
      <c r="AA54" s="336">
        <v>0.44500000000000001</v>
      </c>
      <c r="AB54" s="335">
        <v>8.84</v>
      </c>
    </row>
    <row r="55" spans="2:28">
      <c r="B55" s="279" t="str">
        <f t="shared" ref="B55" si="14">B47</f>
        <v>Total externality</v>
      </c>
      <c r="C55" s="731">
        <f t="shared" si="12"/>
        <v>0.20010994917333644</v>
      </c>
      <c r="D55" s="731">
        <f t="shared" si="12"/>
        <v>2.9595208272477653</v>
      </c>
      <c r="E55" s="731">
        <f t="shared" si="12"/>
        <v>9.1629292516211933</v>
      </c>
      <c r="F55" s="731">
        <f t="shared" si="12"/>
        <v>1.1585312846877374</v>
      </c>
      <c r="G55" s="731">
        <f t="shared" si="12"/>
        <v>5.2449870888590286</v>
      </c>
      <c r="H55" s="731">
        <f t="shared" si="12"/>
        <v>15.008246188000232</v>
      </c>
      <c r="K55" s="313">
        <v>1988</v>
      </c>
      <c r="L55" s="314">
        <v>9.76</v>
      </c>
      <c r="M55" s="314">
        <v>6.59</v>
      </c>
      <c r="N55" s="314">
        <v>10.875519718412846</v>
      </c>
      <c r="O55" s="314">
        <v>17.28</v>
      </c>
      <c r="P55" s="314">
        <v>64.966999999999999</v>
      </c>
      <c r="Q55" s="316">
        <v>0.3813657407407407</v>
      </c>
      <c r="R55" s="316">
        <v>0.26598119045053648</v>
      </c>
      <c r="S55" s="316">
        <v>1.1142950531160702</v>
      </c>
      <c r="U55" s="333">
        <v>1996</v>
      </c>
      <c r="V55" s="335">
        <v>4.21</v>
      </c>
      <c r="W55" s="336">
        <v>0.44400000000000001</v>
      </c>
      <c r="X55" s="335">
        <v>1.6</v>
      </c>
      <c r="Y55" s="336">
        <v>0.16900000000000001</v>
      </c>
      <c r="Z55" s="335">
        <v>8.5</v>
      </c>
      <c r="AA55" s="336">
        <v>0.46400000000000002</v>
      </c>
      <c r="AB55" s="335">
        <v>9.48</v>
      </c>
    </row>
    <row r="56" spans="2:28">
      <c r="K56" s="313">
        <v>1989</v>
      </c>
      <c r="L56" s="314">
        <v>9.16</v>
      </c>
      <c r="M56" s="314">
        <v>7.2017506849315067</v>
      </c>
      <c r="N56" s="314">
        <v>10.935880435494518</v>
      </c>
      <c r="O56" s="314">
        <v>17.325153424657536</v>
      </c>
      <c r="P56" s="314">
        <v>66.078999999999994</v>
      </c>
      <c r="Q56" s="316">
        <v>0.41568178407481332</v>
      </c>
      <c r="R56" s="316">
        <v>0.26218849293508584</v>
      </c>
      <c r="S56" s="316">
        <v>1.1938734099884845</v>
      </c>
      <c r="U56" s="333">
        <v>1997</v>
      </c>
      <c r="V56" s="335">
        <v>4.57</v>
      </c>
      <c r="W56" s="336">
        <v>0.45</v>
      </c>
      <c r="X56" s="335">
        <v>1.76</v>
      </c>
      <c r="Y56" s="336">
        <v>0.17299999999999999</v>
      </c>
      <c r="Z56" s="335">
        <v>9.16</v>
      </c>
      <c r="AA56" s="336">
        <v>0.49199999999999999</v>
      </c>
      <c r="AB56" s="335">
        <v>10.16</v>
      </c>
    </row>
    <row r="57" spans="2:28">
      <c r="K57" s="313">
        <v>1990</v>
      </c>
      <c r="L57" s="314">
        <v>8.91</v>
      </c>
      <c r="M57" s="314">
        <v>7.1608876712328762</v>
      </c>
      <c r="N57" s="314">
        <v>10.886732315375591</v>
      </c>
      <c r="O57" s="314">
        <v>16.988</v>
      </c>
      <c r="P57" s="314">
        <v>66.632000000000005</v>
      </c>
      <c r="Q57" s="316">
        <v>0.42152623447332682</v>
      </c>
      <c r="R57" s="316">
        <v>0.25495257533917637</v>
      </c>
      <c r="S57" s="316">
        <v>1.2218554787177991</v>
      </c>
      <c r="U57" s="333">
        <v>1998</v>
      </c>
      <c r="V57" s="335">
        <v>4.91</v>
      </c>
      <c r="W57" s="336">
        <v>0.45800000000000002</v>
      </c>
      <c r="X57" s="335">
        <v>2.14</v>
      </c>
      <c r="Y57" s="336">
        <v>0.19900000000000001</v>
      </c>
      <c r="Z57" s="335">
        <v>9.76</v>
      </c>
      <c r="AA57" s="336">
        <v>0.51600000000000001</v>
      </c>
      <c r="AB57" s="335">
        <v>10.71</v>
      </c>
    </row>
    <row r="58" spans="2:28">
      <c r="K58" s="313">
        <v>1991</v>
      </c>
      <c r="L58" s="314">
        <v>9.08</v>
      </c>
      <c r="M58" s="314">
        <v>6.6258136986301368</v>
      </c>
      <c r="N58" s="314">
        <v>10.764093976631747</v>
      </c>
      <c r="O58" s="314">
        <v>16.713835616438356</v>
      </c>
      <c r="P58" s="314">
        <v>67.22</v>
      </c>
      <c r="Q58" s="316">
        <v>0.39642687954364769</v>
      </c>
      <c r="R58" s="316">
        <v>0.2486437907830758</v>
      </c>
      <c r="S58" s="316">
        <v>1.1854729049153907</v>
      </c>
      <c r="U58" s="333">
        <v>1999</v>
      </c>
      <c r="V58" s="335">
        <v>4.95</v>
      </c>
      <c r="W58" s="336">
        <v>0.45600000000000002</v>
      </c>
      <c r="X58" s="335">
        <v>2.46</v>
      </c>
      <c r="Y58" s="336">
        <v>0.22700000000000001</v>
      </c>
      <c r="Z58" s="335">
        <v>9.91</v>
      </c>
      <c r="AA58" s="336">
        <v>0.50800000000000001</v>
      </c>
      <c r="AB58" s="335">
        <v>10.85</v>
      </c>
    </row>
    <row r="59" spans="2:28">
      <c r="B59" s="273" t="s">
        <v>592</v>
      </c>
      <c r="C59" s="273" t="s">
        <v>47</v>
      </c>
      <c r="D59" s="273" t="s">
        <v>17</v>
      </c>
      <c r="E59" s="273" t="s">
        <v>48</v>
      </c>
      <c r="K59" s="313">
        <v>1992</v>
      </c>
      <c r="L59" s="314">
        <v>8.8699999999999992</v>
      </c>
      <c r="M59" s="314">
        <v>6.94</v>
      </c>
      <c r="N59" s="314">
        <v>10.911495068795215</v>
      </c>
      <c r="O59" s="314">
        <v>17.03</v>
      </c>
      <c r="P59" s="314">
        <v>67.39</v>
      </c>
      <c r="Q59" s="316">
        <v>0.40751614797416325</v>
      </c>
      <c r="R59" s="316">
        <v>0.25270811693129547</v>
      </c>
      <c r="S59" s="316">
        <v>1.2301572794583107</v>
      </c>
      <c r="U59" s="333">
        <v>2000</v>
      </c>
      <c r="V59" s="335">
        <v>5.2</v>
      </c>
      <c r="W59" s="336">
        <v>0.45400000000000001</v>
      </c>
      <c r="X59" s="335">
        <v>2.4900000000000002</v>
      </c>
      <c r="Y59" s="336">
        <v>0.217</v>
      </c>
      <c r="Z59" s="335">
        <v>10.42</v>
      </c>
      <c r="AA59" s="336">
        <v>0.52900000000000003</v>
      </c>
      <c r="AB59" s="335">
        <v>11.46</v>
      </c>
    </row>
    <row r="60" spans="2:28">
      <c r="B60" s="279" t="s">
        <v>593</v>
      </c>
      <c r="C60" s="729">
        <v>2.91</v>
      </c>
      <c r="D60" s="729">
        <v>8.9</v>
      </c>
      <c r="E60" s="729">
        <v>18.399999999999999</v>
      </c>
      <c r="K60" s="313">
        <v>1993</v>
      </c>
      <c r="L60" s="314">
        <v>8.58</v>
      </c>
      <c r="M60" s="314">
        <v>7.6177534246575345</v>
      </c>
      <c r="N60" s="314">
        <v>11.124073402078483</v>
      </c>
      <c r="O60" s="314">
        <v>17.236731506849317</v>
      </c>
      <c r="P60" s="314">
        <v>67.509</v>
      </c>
      <c r="Q60" s="316">
        <v>0.4419488359281159</v>
      </c>
      <c r="R60" s="316">
        <v>0.25532494196106176</v>
      </c>
      <c r="S60" s="316">
        <v>1.2965120515242987</v>
      </c>
      <c r="U60" s="333">
        <v>2001</v>
      </c>
      <c r="V60" s="335">
        <v>5.53</v>
      </c>
      <c r="W60" s="336">
        <v>0.46600000000000003</v>
      </c>
      <c r="X60" s="335">
        <v>2.76</v>
      </c>
      <c r="Y60" s="336">
        <v>0.23300000000000001</v>
      </c>
      <c r="Z60" s="335">
        <v>10.9</v>
      </c>
      <c r="AA60" s="336">
        <v>0.55500000000000005</v>
      </c>
      <c r="AB60" s="335">
        <v>11.87</v>
      </c>
    </row>
    <row r="61" spans="2:28">
      <c r="K61" s="313">
        <v>1994</v>
      </c>
      <c r="L61" s="314">
        <v>8.39</v>
      </c>
      <c r="M61" s="314">
        <v>8.0540410958904118</v>
      </c>
      <c r="N61" s="314">
        <v>11.12896512708611</v>
      </c>
      <c r="O61" s="314">
        <v>17.71815890410959</v>
      </c>
      <c r="P61" s="314">
        <v>68.784000000000006</v>
      </c>
      <c r="Q61" s="316">
        <v>0.45456422077930114</v>
      </c>
      <c r="R61" s="316">
        <v>0.25759128437005102</v>
      </c>
      <c r="S61" s="316">
        <v>1.3264559150281416</v>
      </c>
      <c r="U61" s="333">
        <v>2002</v>
      </c>
      <c r="V61" s="335">
        <v>4.6100000000000003</v>
      </c>
      <c r="W61" s="336">
        <v>0.39900000000000002</v>
      </c>
      <c r="X61" s="335">
        <v>2.27</v>
      </c>
      <c r="Y61" s="336">
        <v>0.19700000000000001</v>
      </c>
      <c r="Z61" s="333">
        <v>10.55</v>
      </c>
      <c r="AA61" s="336">
        <v>0.53400000000000003</v>
      </c>
      <c r="AB61" s="335">
        <v>11.53</v>
      </c>
    </row>
    <row r="62" spans="2:28">
      <c r="B62" s="273" t="s">
        <v>594</v>
      </c>
      <c r="C62" s="273" t="str">
        <f>C59</f>
        <v>Low</v>
      </c>
      <c r="D62" s="273" t="str">
        <f t="shared" ref="D62:E62" si="15">D59</f>
        <v>Medium</v>
      </c>
      <c r="E62" s="273" t="str">
        <f t="shared" si="15"/>
        <v>High</v>
      </c>
      <c r="K62" s="313">
        <v>1995</v>
      </c>
      <c r="L62" s="314">
        <v>8.32</v>
      </c>
      <c r="M62" s="314">
        <v>7.8856876712328763</v>
      </c>
      <c r="N62" s="314">
        <v>11.609317192703841</v>
      </c>
      <c r="O62" s="314">
        <v>17.73</v>
      </c>
      <c r="P62" s="314">
        <v>69.988</v>
      </c>
      <c r="Q62" s="316">
        <v>0.44476523808420054</v>
      </c>
      <c r="R62" s="316">
        <v>0.25332914213865237</v>
      </c>
      <c r="S62" s="316">
        <v>1.3953506241230578</v>
      </c>
      <c r="U62" s="333">
        <v>2003</v>
      </c>
      <c r="V62" s="335">
        <v>5.16</v>
      </c>
      <c r="W62" s="336">
        <v>0.42099999999999999</v>
      </c>
      <c r="X62" s="335">
        <v>2.5</v>
      </c>
      <c r="Y62" s="336">
        <v>0.20399999999999999</v>
      </c>
      <c r="Z62" s="335">
        <v>11.24</v>
      </c>
      <c r="AA62" s="336">
        <v>0.56100000000000005</v>
      </c>
      <c r="AB62" s="335">
        <v>12.26</v>
      </c>
    </row>
    <row r="63" spans="2:28">
      <c r="C63" s="729">
        <f>C60*USD_BaseYear/USD_2004</f>
        <v>3.3548289452047286</v>
      </c>
      <c r="D63" s="729">
        <f>D60*USD_BaseYear/USD_2004</f>
        <v>10.260473406296249</v>
      </c>
      <c r="E63" s="729">
        <f>E60*USD_BaseYear/USD_2004</f>
        <v>21.212664120882135</v>
      </c>
      <c r="K63" s="306">
        <v>1996</v>
      </c>
      <c r="L63" s="309">
        <v>8.3000000000000007</v>
      </c>
      <c r="M63" s="309">
        <v>8.5</v>
      </c>
      <c r="N63" s="309">
        <v>11.911742405095286</v>
      </c>
      <c r="O63" s="309">
        <v>18.309999999999999</v>
      </c>
      <c r="P63" s="309">
        <v>71.543999999999997</v>
      </c>
      <c r="Q63" s="311">
        <v>0.46422719825232117</v>
      </c>
      <c r="R63" s="311">
        <v>0.25592642290059264</v>
      </c>
      <c r="S63" s="311">
        <v>1.4351496873608776</v>
      </c>
      <c r="U63" s="333">
        <v>2004</v>
      </c>
      <c r="V63" s="335">
        <v>5.7</v>
      </c>
      <c r="W63" s="336">
        <v>0.434</v>
      </c>
      <c r="X63" s="335">
        <v>2.4900000000000002</v>
      </c>
      <c r="Y63" s="336">
        <v>0.19</v>
      </c>
      <c r="Z63" s="335">
        <v>12.1</v>
      </c>
      <c r="AA63" s="336">
        <v>0.58399999999999996</v>
      </c>
      <c r="AB63" s="335">
        <v>13.15</v>
      </c>
    </row>
    <row r="64" spans="2:28">
      <c r="K64" s="306">
        <v>1997</v>
      </c>
      <c r="L64" s="309">
        <v>8.27</v>
      </c>
      <c r="M64" s="309">
        <v>9.1581150684931512</v>
      </c>
      <c r="N64" s="309">
        <v>12.045992594241312</v>
      </c>
      <c r="O64" s="309">
        <v>18.620304109589039</v>
      </c>
      <c r="P64" s="309">
        <v>73.430000000000007</v>
      </c>
      <c r="Q64" s="311">
        <v>0.49183488167504885</v>
      </c>
      <c r="R64" s="311">
        <v>0.254042568620239</v>
      </c>
      <c r="S64" s="311">
        <v>1.4565891891464706</v>
      </c>
      <c r="U64" s="333">
        <v>2005</v>
      </c>
      <c r="V64" s="335">
        <v>5.59</v>
      </c>
      <c r="W64" s="336">
        <v>0.40699999999999997</v>
      </c>
      <c r="X64" s="335">
        <v>2.33</v>
      </c>
      <c r="Y64" s="336">
        <v>0.17</v>
      </c>
      <c r="Z64" s="335">
        <v>12.55</v>
      </c>
      <c r="AA64" s="336">
        <v>0.60299999999999998</v>
      </c>
      <c r="AB64" s="335">
        <v>13.71</v>
      </c>
    </row>
    <row r="65" spans="11:28">
      <c r="K65" s="306">
        <v>1998</v>
      </c>
      <c r="L65" s="309">
        <v>8.01</v>
      </c>
      <c r="M65" s="309">
        <v>9.7635315068493149</v>
      </c>
      <c r="N65" s="309">
        <v>12.360906898410473</v>
      </c>
      <c r="O65" s="309">
        <v>18.917139726027401</v>
      </c>
      <c r="P65" s="309">
        <v>74.069999999999993</v>
      </c>
      <c r="Q65" s="311">
        <v>0.51612091723443942</v>
      </c>
      <c r="R65" s="311">
        <v>0.255</v>
      </c>
      <c r="S65" s="311">
        <v>1.5431843818240292</v>
      </c>
      <c r="U65" s="333">
        <v>2006</v>
      </c>
      <c r="V65" s="335">
        <v>5.52</v>
      </c>
      <c r="W65" s="336">
        <v>0.40200000000000002</v>
      </c>
      <c r="X65" s="335">
        <v>2.21</v>
      </c>
      <c r="Y65" s="336">
        <v>0.161</v>
      </c>
      <c r="Z65" s="335">
        <v>12.39</v>
      </c>
      <c r="AA65" s="336">
        <v>0.59899999999999998</v>
      </c>
      <c r="AB65" s="335">
        <v>13.71</v>
      </c>
    </row>
    <row r="66" spans="11:28">
      <c r="K66" s="306">
        <v>1999</v>
      </c>
      <c r="L66" s="309">
        <v>7.73</v>
      </c>
      <c r="M66" s="309">
        <v>9.9124849315068495</v>
      </c>
      <c r="N66" s="309">
        <v>12.70305631546581</v>
      </c>
      <c r="O66" s="309">
        <v>19.519336986301369</v>
      </c>
      <c r="P66" s="309">
        <v>75.58</v>
      </c>
      <c r="Q66" s="311">
        <v>0.50782897689933892</v>
      </c>
      <c r="R66" s="311">
        <v>0.25819570346567239</v>
      </c>
      <c r="S66" s="311">
        <v>1.6433449308493933</v>
      </c>
      <c r="U66" s="333">
        <v>2007</v>
      </c>
      <c r="V66" s="339">
        <v>5.98</v>
      </c>
      <c r="W66" s="340">
        <v>0.44400000000000001</v>
      </c>
      <c r="X66" s="339">
        <v>2.16</v>
      </c>
      <c r="Y66" s="340">
        <v>0.161</v>
      </c>
      <c r="Z66" s="335">
        <v>12.04</v>
      </c>
      <c r="AA66" s="336">
        <v>0.58199999999999996</v>
      </c>
      <c r="AB66" s="335">
        <v>13.47</v>
      </c>
    </row>
    <row r="67" spans="11:28">
      <c r="K67" s="306">
        <v>2000</v>
      </c>
      <c r="L67" s="309">
        <v>7.73</v>
      </c>
      <c r="M67" s="309">
        <v>10.419</v>
      </c>
      <c r="N67" s="309">
        <v>12.979458372185285</v>
      </c>
      <c r="O67" s="309">
        <v>19.701000000000001</v>
      </c>
      <c r="P67" s="309">
        <v>76.739999999999995</v>
      </c>
      <c r="Q67" s="311">
        <v>0.52885640322826255</v>
      </c>
      <c r="R67" s="311">
        <v>0.25681770779017626</v>
      </c>
      <c r="S67" s="311">
        <v>1.679101988639752</v>
      </c>
      <c r="U67" s="333">
        <v>2008</v>
      </c>
      <c r="V67" s="339">
        <v>5.9539999999999997</v>
      </c>
      <c r="W67" s="340">
        <v>0.46100000000000002</v>
      </c>
      <c r="X67" s="339">
        <v>2.37</v>
      </c>
      <c r="Y67" s="340">
        <v>0.184</v>
      </c>
      <c r="Z67" s="335">
        <v>11.114000000000001</v>
      </c>
      <c r="AA67" s="336">
        <v>0.56999999999999995</v>
      </c>
      <c r="AB67" s="335">
        <v>12.914999999999999</v>
      </c>
    </row>
    <row r="68" spans="11:28">
      <c r="K68" s="306">
        <v>2001</v>
      </c>
      <c r="L68" s="309">
        <v>7.67</v>
      </c>
      <c r="M68" s="309">
        <v>10.9</v>
      </c>
      <c r="N68" s="309">
        <v>12.864866506697448</v>
      </c>
      <c r="O68" s="309">
        <v>19.649000000000001</v>
      </c>
      <c r="P68" s="309">
        <v>77.444000000000003</v>
      </c>
      <c r="Q68" s="311">
        <v>0.55473560995470506</v>
      </c>
      <c r="R68" s="311">
        <v>0.25371881617685038</v>
      </c>
      <c r="S68" s="311">
        <v>1.6772968066098368</v>
      </c>
      <c r="U68" s="333">
        <v>2009</v>
      </c>
      <c r="V68" s="339">
        <v>4.7859999999999996</v>
      </c>
      <c r="W68" s="340">
        <v>0.40799999999999997</v>
      </c>
      <c r="X68" s="339">
        <v>1.7010000000000001</v>
      </c>
      <c r="Y68" s="340">
        <v>0.14499999999999999</v>
      </c>
      <c r="Z68" s="335">
        <v>9.6999999999999993</v>
      </c>
      <c r="AA68" s="336">
        <v>0.51900000000000002</v>
      </c>
      <c r="AB68" s="335">
        <v>11.715999999999999</v>
      </c>
    </row>
    <row r="69" spans="11:28" ht="64.5">
      <c r="K69" s="306">
        <v>2002</v>
      </c>
      <c r="L69" s="309">
        <v>7.63</v>
      </c>
      <c r="M69" s="309">
        <v>10.545999999999999</v>
      </c>
      <c r="N69" s="309">
        <v>13.122831894259742</v>
      </c>
      <c r="O69" s="309">
        <v>19.760999999999999</v>
      </c>
      <c r="P69" s="309">
        <v>78.12</v>
      </c>
      <c r="Q69" s="311">
        <v>0.53367744547340723</v>
      </c>
      <c r="R69" s="311">
        <v>0.25305740885399991</v>
      </c>
      <c r="S69" s="311">
        <v>1.719899330833518</v>
      </c>
      <c r="U69" s="347" t="s">
        <v>345</v>
      </c>
      <c r="V69" s="347"/>
      <c r="W69" s="347"/>
      <c r="X69" s="347"/>
      <c r="Y69" s="347"/>
      <c r="Z69" s="347"/>
      <c r="AA69" s="347"/>
      <c r="AB69" s="347"/>
    </row>
    <row r="70" spans="11:28" ht="26.25">
      <c r="K70" s="306">
        <v>2003</v>
      </c>
      <c r="L70" s="309">
        <v>7.4</v>
      </c>
      <c r="M70" s="309">
        <v>11.238</v>
      </c>
      <c r="N70" s="309">
        <v>13.20367593418173</v>
      </c>
      <c r="O70" s="309">
        <v>20.033999999999999</v>
      </c>
      <c r="P70" s="309">
        <v>79.680000000000007</v>
      </c>
      <c r="Q70" s="311">
        <v>0.56094639113507039</v>
      </c>
      <c r="R70" s="311">
        <v>0.25149384885764497</v>
      </c>
      <c r="S70" s="311">
        <v>1.7842805316461796</v>
      </c>
      <c r="U70" s="338" t="s">
        <v>373</v>
      </c>
      <c r="V70" s="336">
        <v>2.7E-2</v>
      </c>
      <c r="W70" s="333"/>
      <c r="X70" s="337" t="s">
        <v>372</v>
      </c>
      <c r="Y70" s="333"/>
      <c r="Z70" s="336">
        <v>3.6999999999999998E-2</v>
      </c>
      <c r="AA70" s="333"/>
      <c r="AB70" s="336">
        <v>3.9E-2</v>
      </c>
    </row>
    <row r="71" spans="11:28" ht="26.25">
      <c r="K71" s="306">
        <v>2004</v>
      </c>
      <c r="L71" s="309">
        <v>7.23</v>
      </c>
      <c r="M71" s="309">
        <v>12.097</v>
      </c>
      <c r="N71" s="309">
        <v>13.608653894758127</v>
      </c>
      <c r="O71" s="309">
        <v>20.731000000000002</v>
      </c>
      <c r="P71" s="318">
        <v>82.46</v>
      </c>
      <c r="Q71" s="311">
        <v>0.58352226134773999</v>
      </c>
      <c r="R71" s="311">
        <v>0.251</v>
      </c>
      <c r="S71" s="311">
        <v>1.8822481182238073</v>
      </c>
      <c r="U71" s="338" t="s">
        <v>347</v>
      </c>
      <c r="V71" s="336">
        <v>3.3000000000000002E-2</v>
      </c>
      <c r="W71" s="333"/>
      <c r="X71" s="337" t="s">
        <v>372</v>
      </c>
      <c r="Y71" s="333"/>
      <c r="Z71" s="336">
        <v>2.9000000000000001E-2</v>
      </c>
      <c r="AA71" s="333"/>
      <c r="AB71" s="336">
        <v>3.2000000000000001E-2</v>
      </c>
    </row>
    <row r="72" spans="11:28" ht="27" thickBot="1">
      <c r="K72" s="306">
        <v>2005</v>
      </c>
      <c r="L72" s="309">
        <v>6.8949999999999996</v>
      </c>
      <c r="M72" s="309">
        <v>12.548999999999999</v>
      </c>
      <c r="N72" s="309">
        <v>13.789011810208585</v>
      </c>
      <c r="O72" s="309">
        <v>20.802</v>
      </c>
      <c r="P72" s="309">
        <v>84.04</v>
      </c>
      <c r="Q72" s="311">
        <v>0.60325930199019329</v>
      </c>
      <c r="R72" s="311">
        <v>0.24762811737396584</v>
      </c>
      <c r="S72" s="311">
        <v>1.9998566802332975</v>
      </c>
      <c r="U72" s="348" t="s">
        <v>348</v>
      </c>
      <c r="V72" s="349">
        <v>-3.0000000000000001E-3</v>
      </c>
      <c r="W72" s="350"/>
      <c r="X72" s="349">
        <v>-3.5999999999999997E-2</v>
      </c>
      <c r="Y72" s="349"/>
      <c r="Z72" s="349">
        <v>-2E-3</v>
      </c>
      <c r="AA72" s="350"/>
      <c r="AB72" s="349">
        <v>8.0000000000000002E-3</v>
      </c>
    </row>
    <row r="73" spans="11:28">
      <c r="K73" s="306">
        <v>2006</v>
      </c>
      <c r="L73" s="309">
        <v>6.8410000000000002</v>
      </c>
      <c r="M73" s="309">
        <v>12.39</v>
      </c>
      <c r="N73" s="309">
        <v>13.9493471017472</v>
      </c>
      <c r="O73" s="309">
        <v>20.687000000000001</v>
      </c>
      <c r="P73" s="309">
        <v>85.2</v>
      </c>
      <c r="Q73" s="311">
        <v>0.59892686228065939</v>
      </c>
      <c r="R73" s="311">
        <v>0.24343661375163278</v>
      </c>
      <c r="S73" s="311">
        <v>2.0390801201209179</v>
      </c>
      <c r="U73" s="325"/>
      <c r="V73" s="325"/>
      <c r="W73" s="325"/>
      <c r="X73" s="325"/>
      <c r="Y73" s="325"/>
      <c r="Z73" s="325"/>
      <c r="AA73" s="325"/>
      <c r="AB73" s="325"/>
    </row>
    <row r="74" spans="11:28">
      <c r="K74" s="306">
        <v>2007</v>
      </c>
      <c r="L74" s="309">
        <v>6.8470000000000004</v>
      </c>
      <c r="M74" s="309">
        <v>12.036</v>
      </c>
      <c r="N74" s="309">
        <v>14</v>
      </c>
      <c r="O74" s="309">
        <v>20.68</v>
      </c>
      <c r="P74" s="309">
        <v>86.14</v>
      </c>
      <c r="Q74" s="311">
        <v>0.58201160541586072</v>
      </c>
      <c r="R74" s="311">
        <v>0.24</v>
      </c>
      <c r="S74" s="311">
        <v>2.0449999999999999</v>
      </c>
      <c r="U74" s="361" t="s">
        <v>374</v>
      </c>
      <c r="V74" s="325"/>
      <c r="W74" s="325"/>
      <c r="X74" s="325"/>
      <c r="Y74" s="325"/>
      <c r="Z74" s="325"/>
      <c r="AA74" s="325"/>
      <c r="AB74" s="325"/>
    </row>
    <row r="75" spans="11:28">
      <c r="K75" s="306">
        <v>2008</v>
      </c>
      <c r="L75" s="309">
        <v>6.73</v>
      </c>
      <c r="M75" s="309">
        <v>11.11</v>
      </c>
      <c r="N75" s="309">
        <v>13.36</v>
      </c>
      <c r="O75" s="309">
        <v>19.5</v>
      </c>
      <c r="P75" s="309">
        <v>85.75</v>
      </c>
      <c r="Q75" s="311">
        <v>0.56999999999999995</v>
      </c>
      <c r="R75" s="311">
        <v>0.22700000000000001</v>
      </c>
      <c r="S75" s="311">
        <v>1.984</v>
      </c>
      <c r="U75" s="257" t="s">
        <v>375</v>
      </c>
      <c r="V75" s="325"/>
      <c r="W75" s="325"/>
      <c r="X75" s="325"/>
      <c r="Y75" s="325"/>
      <c r="Z75" s="325"/>
      <c r="AA75" s="325"/>
      <c r="AB75" s="325"/>
    </row>
    <row r="76" spans="11:28">
      <c r="K76" s="306">
        <v>2009</v>
      </c>
      <c r="L76" s="309">
        <v>7.2</v>
      </c>
      <c r="M76" s="309">
        <v>9.6999999999999993</v>
      </c>
      <c r="N76" s="309">
        <v>12.91</v>
      </c>
      <c r="O76" s="309">
        <v>18.690000000000001</v>
      </c>
      <c r="P76" s="309">
        <v>84.04</v>
      </c>
      <c r="Q76" s="311">
        <v>0.51900000000000002</v>
      </c>
      <c r="R76" s="311">
        <v>0.222</v>
      </c>
      <c r="S76" s="311">
        <v>1.794</v>
      </c>
      <c r="U76" s="257" t="s">
        <v>376</v>
      </c>
      <c r="V76" s="325"/>
      <c r="W76" s="325"/>
      <c r="X76" s="325"/>
      <c r="Y76" s="325"/>
      <c r="Z76" s="325"/>
      <c r="AA76" s="325"/>
      <c r="AB76" s="325"/>
    </row>
    <row r="77" spans="11:28" ht="60.75">
      <c r="K77" s="319" t="s">
        <v>345</v>
      </c>
      <c r="L77" s="319"/>
      <c r="M77" s="319"/>
      <c r="N77" s="319"/>
      <c r="O77" s="319"/>
      <c r="P77" s="319"/>
      <c r="Q77" s="319"/>
      <c r="R77" s="319"/>
      <c r="S77" s="319"/>
      <c r="U77" s="258"/>
      <c r="V77" s="351"/>
      <c r="W77" s="325"/>
      <c r="X77" s="325"/>
      <c r="Y77" s="325"/>
      <c r="Z77" s="325"/>
      <c r="AA77" s="325"/>
      <c r="AB77" s="325"/>
    </row>
    <row r="78" spans="11:28" ht="24.75">
      <c r="K78" s="306" t="s">
        <v>346</v>
      </c>
      <c r="L78" s="311">
        <v>3.0000000000000001E-3</v>
      </c>
      <c r="M78" s="311">
        <v>0.05</v>
      </c>
      <c r="N78" s="311">
        <v>2.3E-2</v>
      </c>
      <c r="O78" s="311">
        <v>1.7999999999999999E-2</v>
      </c>
      <c r="P78" s="320" t="s">
        <v>344</v>
      </c>
      <c r="Q78" s="306"/>
      <c r="R78" s="306"/>
      <c r="S78" s="306"/>
      <c r="U78" s="257" t="s">
        <v>377</v>
      </c>
      <c r="V78" s="325"/>
      <c r="W78" s="325"/>
      <c r="X78" s="325"/>
      <c r="Y78" s="325"/>
      <c r="Z78" s="325"/>
      <c r="AA78" s="325"/>
      <c r="AB78" s="325"/>
    </row>
    <row r="79" spans="11:28" ht="24.75">
      <c r="K79" s="306" t="s">
        <v>347</v>
      </c>
      <c r="L79" s="311">
        <v>-1.0999999999999999E-2</v>
      </c>
      <c r="M79" s="311">
        <v>2.9000000000000001E-2</v>
      </c>
      <c r="N79" s="311">
        <v>1.2999999999999999E-2</v>
      </c>
      <c r="O79" s="311">
        <v>6.0000000000000001E-3</v>
      </c>
      <c r="P79" s="311">
        <v>1.4999999999999999E-2</v>
      </c>
      <c r="Q79" s="306"/>
      <c r="R79" s="306"/>
      <c r="S79" s="306"/>
      <c r="U79" s="257" t="s">
        <v>378</v>
      </c>
      <c r="V79" s="325"/>
      <c r="W79" s="325"/>
      <c r="X79" s="325"/>
      <c r="Y79" s="325"/>
      <c r="Z79" s="325"/>
      <c r="AA79" s="325"/>
      <c r="AB79" s="325"/>
    </row>
    <row r="80" spans="11:28" ht="25.5" thickBot="1">
      <c r="K80" s="321" t="s">
        <v>348</v>
      </c>
      <c r="L80" s="322">
        <v>-7.0000000000000001E-3</v>
      </c>
      <c r="M80" s="322">
        <v>-2E-3</v>
      </c>
      <c r="N80" s="322">
        <v>2E-3</v>
      </c>
      <c r="O80" s="322">
        <v>-4.0000000000000001E-3</v>
      </c>
      <c r="P80" s="322">
        <v>1.0999999999999999E-2</v>
      </c>
      <c r="Q80" s="322"/>
      <c r="R80" s="321"/>
      <c r="S80" s="321"/>
      <c r="U80" s="257" t="s">
        <v>379</v>
      </c>
      <c r="V80" s="325"/>
      <c r="W80" s="325"/>
      <c r="X80" s="325"/>
      <c r="Y80" s="325"/>
      <c r="Z80" s="325"/>
      <c r="AA80" s="325"/>
      <c r="AB80" s="325"/>
    </row>
    <row r="81" spans="11:19">
      <c r="K81" s="306"/>
      <c r="L81" s="323"/>
      <c r="M81" s="323"/>
      <c r="N81" s="323"/>
      <c r="O81" s="323"/>
      <c r="P81" s="323"/>
      <c r="Q81" s="323"/>
      <c r="R81" s="298"/>
      <c r="S81" s="298"/>
    </row>
    <row r="82" spans="11:19">
      <c r="K82" s="356" t="s">
        <v>349</v>
      </c>
      <c r="L82" s="298"/>
      <c r="M82" s="298"/>
      <c r="N82" s="298"/>
      <c r="O82" s="298"/>
      <c r="P82" s="298"/>
      <c r="Q82" s="298"/>
      <c r="R82" s="298"/>
      <c r="S82" s="298"/>
    </row>
    <row r="83" spans="11:19">
      <c r="K83" s="255" t="s">
        <v>350</v>
      </c>
      <c r="L83" s="298"/>
      <c r="M83" s="298"/>
      <c r="N83" s="298"/>
      <c r="O83" s="298"/>
      <c r="P83" s="298"/>
      <c r="Q83" s="298"/>
      <c r="R83" s="298"/>
      <c r="S83" s="298"/>
    </row>
    <row r="84" spans="11:19">
      <c r="K84" s="250" t="s">
        <v>351</v>
      </c>
      <c r="L84" s="298"/>
      <c r="M84" s="298"/>
      <c r="N84" s="298"/>
      <c r="O84" s="298"/>
      <c r="P84" s="298"/>
      <c r="Q84" s="298"/>
      <c r="R84" s="298"/>
      <c r="S84" s="298"/>
    </row>
    <row r="85" spans="11:19">
      <c r="K85" s="255" t="s">
        <v>352</v>
      </c>
      <c r="L85" s="298"/>
      <c r="M85" s="298"/>
      <c r="N85" s="298"/>
      <c r="O85" s="298"/>
      <c r="P85" s="298"/>
      <c r="Q85" s="298"/>
      <c r="R85" s="298"/>
      <c r="S85" s="298"/>
    </row>
    <row r="86" spans="11:19">
      <c r="K86" s="255" t="s">
        <v>353</v>
      </c>
      <c r="L86" s="298"/>
      <c r="M86" s="298"/>
      <c r="N86" s="298"/>
      <c r="O86" s="298"/>
      <c r="P86" s="298"/>
      <c r="Q86" s="298"/>
      <c r="R86" s="298"/>
      <c r="S86" s="298"/>
    </row>
    <row r="87" spans="11:19">
      <c r="K87" s="256"/>
      <c r="L87" s="324"/>
      <c r="M87" s="298"/>
      <c r="N87" s="298"/>
      <c r="O87" s="298"/>
      <c r="P87" s="298"/>
      <c r="Q87" s="298"/>
      <c r="R87" s="298"/>
      <c r="S87" s="298"/>
    </row>
    <row r="88" spans="11:19">
      <c r="K88" s="357" t="s">
        <v>354</v>
      </c>
      <c r="L88" s="298"/>
      <c r="M88" s="298"/>
      <c r="N88" s="298"/>
      <c r="O88" s="298"/>
      <c r="P88" s="298"/>
      <c r="Q88" s="298"/>
      <c r="R88" s="298"/>
      <c r="S88" s="298"/>
    </row>
    <row r="89" spans="11:19">
      <c r="K89" s="357" t="s">
        <v>355</v>
      </c>
      <c r="L89" s="298"/>
      <c r="M89" s="298"/>
      <c r="N89" s="298"/>
      <c r="O89" s="298"/>
      <c r="P89" s="298"/>
      <c r="Q89" s="298"/>
      <c r="R89" s="298"/>
      <c r="S89" s="298"/>
    </row>
  </sheetData>
  <mergeCells count="6">
    <mergeCell ref="A14:G14"/>
    <mergeCell ref="A26:G26"/>
    <mergeCell ref="C43:E43"/>
    <mergeCell ref="F43:H43"/>
    <mergeCell ref="C51:E51"/>
    <mergeCell ref="F51:H51"/>
  </mergeCells>
  <pageMargins left="0.7" right="0.7" top="0.75" bottom="0.75" header="0.3" footer="0.3"/>
  <pageSetup paperSize="0" orientation="portrait" horizontalDpi="4294967292" verticalDpi="4294967292"/>
  <legacyDrawing r:id="rId1"/>
</worksheet>
</file>

<file path=xl/worksheets/sheet15.xml><?xml version="1.0" encoding="utf-8"?>
<worksheet xmlns="http://schemas.openxmlformats.org/spreadsheetml/2006/main" xmlns:r="http://schemas.openxmlformats.org/officeDocument/2006/relationships">
  <dimension ref="A1:I20"/>
  <sheetViews>
    <sheetView workbookViewId="0"/>
  </sheetViews>
  <sheetFormatPr defaultRowHeight="15"/>
  <cols>
    <col min="1" max="1" width="38.5703125" bestFit="1" customWidth="1"/>
    <col min="2" max="3" width="16.7109375" customWidth="1"/>
    <col min="4" max="6" width="8.42578125" customWidth="1"/>
    <col min="7" max="9" width="9.5703125" customWidth="1"/>
  </cols>
  <sheetData>
    <row r="1" spans="1:9" ht="23.25">
      <c r="A1" s="59" t="s">
        <v>754</v>
      </c>
    </row>
    <row r="3" spans="1:9" ht="28.5" customHeight="1">
      <c r="A3" s="469"/>
      <c r="B3" s="965" t="s">
        <v>692</v>
      </c>
      <c r="C3" s="965" t="s">
        <v>693</v>
      </c>
      <c r="D3" s="962" t="s">
        <v>691</v>
      </c>
      <c r="E3" s="963"/>
      <c r="F3" s="964"/>
      <c r="G3" s="967" t="s">
        <v>694</v>
      </c>
      <c r="H3" s="968"/>
      <c r="I3" s="940"/>
    </row>
    <row r="4" spans="1:9" s="837" customFormat="1">
      <c r="A4" s="841"/>
      <c r="B4" s="966"/>
      <c r="C4" s="966"/>
      <c r="D4" s="848" t="s">
        <v>689</v>
      </c>
      <c r="E4" s="849" t="s">
        <v>505</v>
      </c>
      <c r="F4" s="850" t="s">
        <v>690</v>
      </c>
      <c r="G4" s="848" t="s">
        <v>689</v>
      </c>
      <c r="H4" s="849" t="s">
        <v>505</v>
      </c>
      <c r="I4" s="850" t="s">
        <v>690</v>
      </c>
    </row>
    <row r="5" spans="1:9">
      <c r="A5" s="836" t="s">
        <v>673</v>
      </c>
      <c r="B5" s="842">
        <v>4.2000000000000003E-2</v>
      </c>
      <c r="C5" s="851">
        <f>B5*42</f>
        <v>1.764</v>
      </c>
      <c r="D5" s="838">
        <v>2.6628408438213007E-2</v>
      </c>
      <c r="E5" s="839">
        <v>2.5820785671259332E-2</v>
      </c>
      <c r="F5" s="840">
        <v>3.9399624765478425E-2</v>
      </c>
      <c r="G5" s="853">
        <f>D5/$B5/42*100</f>
        <v>1.5095469636175172</v>
      </c>
      <c r="H5" s="854">
        <f t="shared" ref="H5:I20" si="0">E5/$B5/42*100</f>
        <v>1.4637633600487148</v>
      </c>
      <c r="I5" s="855">
        <f t="shared" si="0"/>
        <v>2.2335388189046723</v>
      </c>
    </row>
    <row r="6" spans="1:9">
      <c r="A6" s="843" t="s">
        <v>674</v>
      </c>
      <c r="B6" s="844">
        <v>0.46200000000000002</v>
      </c>
      <c r="C6" s="852">
        <f t="shared" ref="C6:C20" si="1">B6*42</f>
        <v>19.404</v>
      </c>
      <c r="D6" s="845">
        <v>0.39833351895849711</v>
      </c>
      <c r="E6" s="846">
        <v>0.41261129934800278</v>
      </c>
      <c r="F6" s="847">
        <v>0.43339587242026267</v>
      </c>
      <c r="G6" s="856">
        <f t="shared" ref="G6:G20" si="2">D6/$B6/42*100</f>
        <v>2.0528422951891212</v>
      </c>
      <c r="H6" s="857">
        <f t="shared" si="0"/>
        <v>2.1264239298495293</v>
      </c>
      <c r="I6" s="858">
        <f t="shared" si="0"/>
        <v>2.2335388189046728</v>
      </c>
    </row>
    <row r="7" spans="1:9">
      <c r="A7" s="836" t="s">
        <v>675</v>
      </c>
      <c r="B7" s="842">
        <v>1E-3</v>
      </c>
      <c r="C7" s="851">
        <f t="shared" si="1"/>
        <v>4.2000000000000003E-2</v>
      </c>
      <c r="D7" s="838">
        <v>8.2634975356680291E-4</v>
      </c>
      <c r="E7" s="839">
        <v>8.582446143365277E-4</v>
      </c>
      <c r="F7" s="840">
        <v>9.3808630393996258E-4</v>
      </c>
      <c r="G7" s="853">
        <f t="shared" si="2"/>
        <v>1.9674994132542927</v>
      </c>
      <c r="H7" s="854">
        <f t="shared" si="0"/>
        <v>2.0434395579441134</v>
      </c>
      <c r="I7" s="855">
        <f t="shared" si="0"/>
        <v>2.2335388189046728</v>
      </c>
    </row>
    <row r="8" spans="1:9">
      <c r="A8" s="836" t="s">
        <v>676</v>
      </c>
      <c r="B8" s="842">
        <v>9.3000000000000013E-2</v>
      </c>
      <c r="C8" s="851">
        <f t="shared" si="1"/>
        <v>3.9060000000000006</v>
      </c>
      <c r="D8" s="838">
        <v>8.6250906813019265E-2</v>
      </c>
      <c r="E8" s="839">
        <v>8.9651538745204901E-2</v>
      </c>
      <c r="F8" s="840">
        <v>8.7242026266416514E-2</v>
      </c>
      <c r="G8" s="853">
        <f t="shared" si="2"/>
        <v>2.2081645369436571</v>
      </c>
      <c r="H8" s="854">
        <f t="shared" si="0"/>
        <v>2.2952262863595725</v>
      </c>
      <c r="I8" s="855">
        <f t="shared" si="0"/>
        <v>2.2335388189046723</v>
      </c>
    </row>
    <row r="9" spans="1:9">
      <c r="A9" s="836" t="s">
        <v>677</v>
      </c>
      <c r="B9" s="842">
        <v>1E-3</v>
      </c>
      <c r="C9" s="851">
        <f t="shared" si="1"/>
        <v>4.2000000000000003E-2</v>
      </c>
      <c r="D9" s="838">
        <v>9.5142468392555581E-4</v>
      </c>
      <c r="E9" s="839">
        <v>9.639950402710205E-4</v>
      </c>
      <c r="F9" s="840">
        <v>9.3808630393996258E-4</v>
      </c>
      <c r="G9" s="853">
        <f t="shared" si="2"/>
        <v>2.2652968664894182</v>
      </c>
      <c r="H9" s="854">
        <f t="shared" si="0"/>
        <v>2.2952262863595725</v>
      </c>
      <c r="I9" s="855">
        <f t="shared" si="0"/>
        <v>2.2335388189046728</v>
      </c>
    </row>
    <row r="10" spans="1:9">
      <c r="A10" s="836" t="s">
        <v>678</v>
      </c>
      <c r="B10" s="842">
        <v>0.26800000000000002</v>
      </c>
      <c r="C10" s="851">
        <f t="shared" si="1"/>
        <v>11.256</v>
      </c>
      <c r="D10" s="838">
        <v>0.26421037965248501</v>
      </c>
      <c r="E10" s="839">
        <v>0.26541316708414286</v>
      </c>
      <c r="F10" s="840">
        <v>0.25140712945590993</v>
      </c>
      <c r="G10" s="853">
        <f t="shared" si="2"/>
        <v>2.347284822783271</v>
      </c>
      <c r="H10" s="854">
        <f t="shared" si="0"/>
        <v>2.3579705675563507</v>
      </c>
      <c r="I10" s="855">
        <f t="shared" si="0"/>
        <v>2.2335388189046723</v>
      </c>
    </row>
    <row r="11" spans="1:9">
      <c r="A11" s="836" t="s">
        <v>679</v>
      </c>
      <c r="B11" s="842">
        <v>0.04</v>
      </c>
      <c r="C11" s="851">
        <f t="shared" si="1"/>
        <v>1.68</v>
      </c>
      <c r="D11" s="838">
        <v>4.4171248088555826E-2</v>
      </c>
      <c r="E11" s="839">
        <v>4.2755815295830023E-2</v>
      </c>
      <c r="F11" s="840">
        <v>3.7523452157598496E-2</v>
      </c>
      <c r="G11" s="853">
        <f t="shared" si="2"/>
        <v>2.6292409576521325</v>
      </c>
      <c r="H11" s="854">
        <f t="shared" si="0"/>
        <v>2.544989005704168</v>
      </c>
      <c r="I11" s="855">
        <f t="shared" si="0"/>
        <v>2.2335388189046723</v>
      </c>
    </row>
    <row r="12" spans="1:9">
      <c r="A12" s="836" t="s">
        <v>680</v>
      </c>
      <c r="B12" s="842">
        <v>1.1000000000000001E-2</v>
      </c>
      <c r="C12" s="851">
        <f t="shared" si="1"/>
        <v>0.46200000000000002</v>
      </c>
      <c r="D12" s="838">
        <v>9.8418054591472015E-3</v>
      </c>
      <c r="E12" s="839">
        <v>9.8147276339974384E-3</v>
      </c>
      <c r="F12" s="840">
        <v>1.0318949343339587E-2</v>
      </c>
      <c r="G12" s="853">
        <f t="shared" si="2"/>
        <v>2.1302609218933335</v>
      </c>
      <c r="H12" s="854">
        <f t="shared" si="0"/>
        <v>2.1243999207786661</v>
      </c>
      <c r="I12" s="855">
        <f t="shared" si="0"/>
        <v>2.2335388189046723</v>
      </c>
    </row>
    <row r="13" spans="1:9">
      <c r="A13" s="836" t="s">
        <v>681</v>
      </c>
      <c r="B13" s="842">
        <v>0.01</v>
      </c>
      <c r="C13" s="851">
        <f t="shared" si="1"/>
        <v>0.42</v>
      </c>
      <c r="D13" s="838">
        <v>8.9470958719520006E-3</v>
      </c>
      <c r="E13" s="839">
        <v>8.9224796672703974E-3</v>
      </c>
      <c r="F13" s="840">
        <v>9.3808630393996239E-3</v>
      </c>
      <c r="G13" s="853">
        <f t="shared" si="2"/>
        <v>2.1302609218933335</v>
      </c>
      <c r="H13" s="854">
        <f t="shared" si="0"/>
        <v>2.1243999207786661</v>
      </c>
      <c r="I13" s="855">
        <f t="shared" si="0"/>
        <v>2.2335388189046723</v>
      </c>
    </row>
    <row r="14" spans="1:9">
      <c r="A14" s="836" t="s">
        <v>682</v>
      </c>
      <c r="B14" s="842">
        <v>2E-3</v>
      </c>
      <c r="C14" s="851">
        <f t="shared" si="1"/>
        <v>8.4000000000000005E-2</v>
      </c>
      <c r="D14" s="838">
        <v>1.7894191743904003E-3</v>
      </c>
      <c r="E14" s="839">
        <v>1.78449593345408E-3</v>
      </c>
      <c r="F14" s="840">
        <v>1.8761726078799252E-3</v>
      </c>
      <c r="G14" s="853">
        <f t="shared" si="2"/>
        <v>2.1302609218933335</v>
      </c>
      <c r="H14" s="854">
        <f t="shared" si="0"/>
        <v>2.1243999207786666</v>
      </c>
      <c r="I14" s="855">
        <f t="shared" si="0"/>
        <v>2.2335388189046728</v>
      </c>
    </row>
    <row r="15" spans="1:9">
      <c r="A15" s="836" t="s">
        <v>683</v>
      </c>
      <c r="B15" s="842">
        <v>0.01</v>
      </c>
      <c r="C15" s="851">
        <f t="shared" si="1"/>
        <v>0.42</v>
      </c>
      <c r="D15" s="838">
        <v>1.0506446866777921E-2</v>
      </c>
      <c r="E15" s="839">
        <v>1.0311516612422821E-2</v>
      </c>
      <c r="F15" s="840">
        <v>9.3808630393996239E-3</v>
      </c>
      <c r="G15" s="853">
        <f t="shared" si="2"/>
        <v>2.5015349682804571</v>
      </c>
      <c r="H15" s="854">
        <f t="shared" si="0"/>
        <v>2.4551230029578144</v>
      </c>
      <c r="I15" s="855">
        <f t="shared" si="0"/>
        <v>2.2335388189046723</v>
      </c>
    </row>
    <row r="16" spans="1:9">
      <c r="A16" s="836" t="s">
        <v>684</v>
      </c>
      <c r="B16" s="842">
        <v>1E-3</v>
      </c>
      <c r="C16" s="851">
        <f t="shared" si="1"/>
        <v>4.2000000000000003E-2</v>
      </c>
      <c r="D16" s="838">
        <v>9.3449972131442777E-4</v>
      </c>
      <c r="E16" s="839">
        <v>9.4138281093132995E-4</v>
      </c>
      <c r="F16" s="840">
        <v>9.3808630393996258E-4</v>
      </c>
      <c r="G16" s="853">
        <f t="shared" si="2"/>
        <v>2.2249993364629232</v>
      </c>
      <c r="H16" s="854">
        <f t="shared" si="0"/>
        <v>2.2413876450745951</v>
      </c>
      <c r="I16" s="855">
        <f t="shared" si="0"/>
        <v>2.2335388189046728</v>
      </c>
    </row>
    <row r="17" spans="1:9">
      <c r="A17" s="836" t="s">
        <v>685</v>
      </c>
      <c r="B17" s="842">
        <v>5.2999999999999999E-2</v>
      </c>
      <c r="C17" s="851">
        <f t="shared" si="1"/>
        <v>2.226</v>
      </c>
      <c r="D17" s="838">
        <v>7.0742137705528299E-2</v>
      </c>
      <c r="E17" s="839">
        <v>5.4281591622118028E-2</v>
      </c>
      <c r="F17" s="840">
        <v>4.9718574108818005E-2</v>
      </c>
      <c r="G17" s="853">
        <f t="shared" si="2"/>
        <v>3.1779936076158268</v>
      </c>
      <c r="H17" s="854">
        <f t="shared" si="0"/>
        <v>2.4385261285767306</v>
      </c>
      <c r="I17" s="855">
        <f t="shared" si="0"/>
        <v>2.2335388189046723</v>
      </c>
    </row>
    <row r="18" spans="1:9">
      <c r="A18" s="836" t="s">
        <v>686</v>
      </c>
      <c r="B18" s="842">
        <v>2.4E-2</v>
      </c>
      <c r="C18" s="851">
        <f t="shared" si="1"/>
        <v>1.008</v>
      </c>
      <c r="D18" s="838">
        <v>2.9126783393047705E-2</v>
      </c>
      <c r="E18" s="839">
        <v>2.7077549575612661E-2</v>
      </c>
      <c r="F18" s="840">
        <v>2.2514071294559096E-2</v>
      </c>
      <c r="G18" s="853">
        <f t="shared" si="2"/>
        <v>2.8895618445483837</v>
      </c>
      <c r="H18" s="854">
        <f t="shared" si="0"/>
        <v>2.6862648388504624</v>
      </c>
      <c r="I18" s="855">
        <f t="shared" si="0"/>
        <v>2.2335388189046719</v>
      </c>
    </row>
    <row r="19" spans="1:9">
      <c r="A19" s="836" t="s">
        <v>687</v>
      </c>
      <c r="B19" s="842">
        <v>4.2999999999999997E-2</v>
      </c>
      <c r="C19" s="851">
        <f t="shared" si="1"/>
        <v>1.8059999999999998</v>
      </c>
      <c r="D19" s="838">
        <v>4.2165873425335391E-2</v>
      </c>
      <c r="E19" s="839">
        <v>4.386432458376071E-2</v>
      </c>
      <c r="F19" s="840">
        <v>4.0337711069418379E-2</v>
      </c>
      <c r="G19" s="853">
        <f t="shared" si="2"/>
        <v>2.334765970395094</v>
      </c>
      <c r="H19" s="854">
        <f t="shared" si="0"/>
        <v>2.4288108850365848</v>
      </c>
      <c r="I19" s="855">
        <f t="shared" si="0"/>
        <v>2.2335388189046723</v>
      </c>
    </row>
    <row r="20" spans="1:9">
      <c r="A20" s="836" t="s">
        <v>688</v>
      </c>
      <c r="B20" s="842">
        <v>5.0000000000000001E-3</v>
      </c>
      <c r="C20" s="851">
        <f t="shared" si="1"/>
        <v>0.21</v>
      </c>
      <c r="D20" s="838">
        <v>4.5737019942441205E-3</v>
      </c>
      <c r="E20" s="839">
        <v>4.9270857613852156E-3</v>
      </c>
      <c r="F20" s="840">
        <v>4.6904315196998119E-3</v>
      </c>
      <c r="G20" s="853">
        <f t="shared" si="2"/>
        <v>2.1779533305924383</v>
      </c>
      <c r="H20" s="854">
        <f t="shared" si="0"/>
        <v>2.3462313149453404</v>
      </c>
      <c r="I20" s="855">
        <f t="shared" si="0"/>
        <v>2.2335388189046723</v>
      </c>
    </row>
  </sheetData>
  <mergeCells count="4">
    <mergeCell ref="D3:F3"/>
    <mergeCell ref="B3:B4"/>
    <mergeCell ref="G3:I3"/>
    <mergeCell ref="C3:C4"/>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96"/>
  <sheetViews>
    <sheetView zoomScale="70" zoomScaleNormal="70" workbookViewId="0"/>
  </sheetViews>
  <sheetFormatPr defaultRowHeight="15"/>
  <cols>
    <col min="1" max="1" width="3.85546875" style="13" customWidth="1"/>
    <col min="2" max="2" width="13.7109375" style="13" customWidth="1"/>
    <col min="3" max="3" width="12.28515625" style="13" customWidth="1"/>
    <col min="4" max="4" width="9.140625" style="13"/>
    <col min="5" max="5" width="20.140625" style="13" customWidth="1"/>
    <col min="6" max="6" width="17.42578125" style="13" customWidth="1"/>
    <col min="7" max="16384" width="9.140625" style="13"/>
  </cols>
  <sheetData>
    <row r="1" spans="1:3" ht="28.5">
      <c r="A1" s="97" t="s">
        <v>77</v>
      </c>
    </row>
    <row r="2" spans="1:3">
      <c r="A2" s="164" t="s">
        <v>109</v>
      </c>
    </row>
    <row r="3" spans="1:3" ht="15" customHeight="1" thickBot="1">
      <c r="B3" s="97"/>
    </row>
    <row r="4" spans="1:3" ht="18.75">
      <c r="B4" s="128" t="s">
        <v>75</v>
      </c>
      <c r="C4" s="129"/>
    </row>
    <row r="5" spans="1:3" ht="19.5" thickBot="1">
      <c r="B5" s="131" t="str">
        <f>SUMMARY!B35</f>
        <v>USD_2010</v>
      </c>
      <c r="C5" s="130">
        <f t="array" ref="C5">SUM(IF(B5=B9:B96,C9:C96))</f>
        <v>1.261946</v>
      </c>
    </row>
    <row r="6" spans="1:3" ht="15" customHeight="1">
      <c r="B6" s="97"/>
    </row>
    <row r="7" spans="1:3" ht="30">
      <c r="B7" s="11" t="s">
        <v>18</v>
      </c>
      <c r="C7" s="11" t="s">
        <v>20</v>
      </c>
    </row>
    <row r="8" spans="1:3" ht="15" customHeight="1" thickBot="1">
      <c r="A8" s="14"/>
      <c r="B8" s="12"/>
      <c r="C8" s="12" t="s">
        <v>19</v>
      </c>
    </row>
    <row r="9" spans="1:3" ht="15.75" thickTop="1">
      <c r="A9" s="972" t="s">
        <v>22</v>
      </c>
      <c r="B9" s="16" t="s">
        <v>123</v>
      </c>
      <c r="C9" s="16">
        <v>0.16352</v>
      </c>
    </row>
    <row r="10" spans="1:3">
      <c r="A10" s="970"/>
      <c r="B10" s="16" t="s">
        <v>124</v>
      </c>
      <c r="C10" s="16">
        <v>0.16531000000000001</v>
      </c>
    </row>
    <row r="11" spans="1:3">
      <c r="A11" s="970"/>
      <c r="B11" s="16" t="s">
        <v>125</v>
      </c>
      <c r="C11" s="16">
        <v>0.17718</v>
      </c>
    </row>
    <row r="12" spans="1:3">
      <c r="A12" s="970"/>
      <c r="B12" s="16" t="s">
        <v>126</v>
      </c>
      <c r="C12" s="16">
        <v>0.18021999999999999</v>
      </c>
    </row>
    <row r="13" spans="1:3">
      <c r="A13" s="970"/>
      <c r="B13" s="16" t="s">
        <v>127</v>
      </c>
      <c r="C13" s="16">
        <v>0.18243000000000001</v>
      </c>
    </row>
    <row r="14" spans="1:3">
      <c r="A14" s="970"/>
      <c r="B14" s="16" t="s">
        <v>128</v>
      </c>
      <c r="C14" s="16">
        <v>0.18417</v>
      </c>
    </row>
    <row r="15" spans="1:3">
      <c r="A15" s="970"/>
      <c r="B15" s="16" t="s">
        <v>129</v>
      </c>
      <c r="C15" s="16">
        <v>0.18743000000000001</v>
      </c>
    </row>
    <row r="16" spans="1:3">
      <c r="A16" s="970"/>
      <c r="B16" s="16" t="s">
        <v>130</v>
      </c>
      <c r="C16" s="16">
        <v>0.19392999999999999</v>
      </c>
    </row>
    <row r="17" spans="1:3">
      <c r="A17" s="970"/>
      <c r="B17" s="16" t="s">
        <v>131</v>
      </c>
      <c r="C17" s="16">
        <v>0.20038</v>
      </c>
    </row>
    <row r="18" spans="1:3">
      <c r="A18" s="970"/>
      <c r="B18" s="16" t="s">
        <v>132</v>
      </c>
      <c r="C18" s="16">
        <v>0.20498</v>
      </c>
    </row>
    <row r="19" spans="1:3">
      <c r="A19" s="970"/>
      <c r="B19" s="16" t="s">
        <v>133</v>
      </c>
      <c r="C19" s="16">
        <v>0.20751</v>
      </c>
    </row>
    <row r="20" spans="1:3">
      <c r="A20" s="970"/>
      <c r="B20" s="16" t="s">
        <v>134</v>
      </c>
      <c r="C20" s="16">
        <v>0.21041000000000001</v>
      </c>
    </row>
    <row r="21" spans="1:3">
      <c r="A21" s="970"/>
      <c r="B21" s="16" t="s">
        <v>135</v>
      </c>
      <c r="C21" s="16">
        <v>0.21278</v>
      </c>
    </row>
    <row r="22" spans="1:3">
      <c r="A22" s="970"/>
      <c r="B22" s="16" t="s">
        <v>136</v>
      </c>
      <c r="C22" s="16">
        <v>0.21568999999999999</v>
      </c>
    </row>
    <row r="23" spans="1:3">
      <c r="A23" s="970"/>
      <c r="B23" s="16" t="s">
        <v>137</v>
      </c>
      <c r="C23" s="16">
        <v>0.21798000000000001</v>
      </c>
    </row>
    <row r="24" spans="1:3">
      <c r="A24" s="970"/>
      <c r="B24" s="16" t="s">
        <v>138</v>
      </c>
      <c r="C24" s="16">
        <v>0.22131000000000001</v>
      </c>
    </row>
    <row r="25" spans="1:3">
      <c r="A25" s="970"/>
      <c r="B25" s="16" t="s">
        <v>139</v>
      </c>
      <c r="C25" s="16">
        <v>0.22534999999999999</v>
      </c>
    </row>
    <row r="26" spans="1:3">
      <c r="A26" s="970"/>
      <c r="B26" s="16" t="s">
        <v>140</v>
      </c>
      <c r="C26" s="16">
        <v>0.23175999999999999</v>
      </c>
    </row>
    <row r="27" spans="1:3">
      <c r="A27" s="970"/>
      <c r="B27" s="16" t="s">
        <v>141</v>
      </c>
      <c r="C27" s="16">
        <v>0.23893</v>
      </c>
    </row>
    <row r="28" spans="1:3">
      <c r="A28" s="970"/>
      <c r="B28" s="16" t="s">
        <v>142</v>
      </c>
      <c r="C28" s="16">
        <v>0.24912999999999999</v>
      </c>
    </row>
    <row r="29" spans="1:3">
      <c r="A29" s="970"/>
      <c r="B29" s="16" t="s">
        <v>143</v>
      </c>
      <c r="C29" s="16">
        <v>0.26149</v>
      </c>
    </row>
    <row r="30" spans="1:3">
      <c r="A30" s="970"/>
      <c r="B30" s="16" t="s">
        <v>144</v>
      </c>
      <c r="C30" s="16">
        <v>0.27533999999999997</v>
      </c>
    </row>
    <row r="31" spans="1:3">
      <c r="A31" s="970"/>
      <c r="B31" s="16" t="s">
        <v>145</v>
      </c>
      <c r="C31" s="16">
        <v>0.28910999999999998</v>
      </c>
    </row>
    <row r="32" spans="1:3">
      <c r="A32" s="970"/>
      <c r="B32" s="16" t="s">
        <v>146</v>
      </c>
      <c r="C32" s="16">
        <v>0.30165999999999998</v>
      </c>
    </row>
    <row r="33" spans="1:6">
      <c r="A33" s="970"/>
      <c r="B33" s="16" t="s">
        <v>147</v>
      </c>
      <c r="C33" s="16">
        <v>0.31849</v>
      </c>
    </row>
    <row r="34" spans="1:6">
      <c r="A34" s="970"/>
      <c r="B34" s="16" t="s">
        <v>148</v>
      </c>
      <c r="C34" s="16">
        <v>0.34725</v>
      </c>
    </row>
    <row r="35" spans="1:6">
      <c r="A35" s="970"/>
      <c r="B35" s="16" t="s">
        <v>149</v>
      </c>
      <c r="C35" s="16">
        <v>0.38002000000000002</v>
      </c>
    </row>
    <row r="36" spans="1:6">
      <c r="A36" s="970"/>
      <c r="B36" s="16" t="s">
        <v>150</v>
      </c>
      <c r="C36" s="16">
        <v>0.40195999999999998</v>
      </c>
    </row>
    <row r="37" spans="1:6">
      <c r="A37" s="970"/>
      <c r="B37" s="16" t="s">
        <v>151</v>
      </c>
      <c r="C37" s="16">
        <v>0.42752000000000001</v>
      </c>
    </row>
    <row r="38" spans="1:6">
      <c r="A38" s="970"/>
      <c r="B38" s="16" t="s">
        <v>152</v>
      </c>
      <c r="C38" s="16">
        <v>0.45756999999999998</v>
      </c>
      <c r="F38" s="17"/>
    </row>
    <row r="39" spans="1:6">
      <c r="A39" s="970"/>
      <c r="B39" s="16" t="s">
        <v>153</v>
      </c>
      <c r="C39" s="16">
        <v>0.49547999999999998</v>
      </c>
    </row>
    <row r="40" spans="1:6">
      <c r="A40" s="970"/>
      <c r="B40" s="16" t="s">
        <v>154</v>
      </c>
      <c r="C40" s="16">
        <v>0.54042999999999997</v>
      </c>
    </row>
    <row r="41" spans="1:6">
      <c r="A41" s="970"/>
      <c r="B41" s="16" t="s">
        <v>155</v>
      </c>
      <c r="C41" s="16">
        <v>0.59118999999999999</v>
      </c>
    </row>
    <row r="42" spans="1:6">
      <c r="A42" s="970"/>
      <c r="B42" s="16" t="s">
        <v>156</v>
      </c>
      <c r="C42" s="16">
        <v>0.62726000000000004</v>
      </c>
    </row>
    <row r="43" spans="1:6">
      <c r="A43" s="970"/>
      <c r="B43" s="16" t="s">
        <v>157</v>
      </c>
      <c r="C43" s="16">
        <v>0.65207000000000004</v>
      </c>
    </row>
    <row r="44" spans="1:6">
      <c r="A44" s="970"/>
      <c r="B44" s="16" t="s">
        <v>158</v>
      </c>
      <c r="C44" s="16">
        <v>0.67654999999999998</v>
      </c>
    </row>
    <row r="45" spans="1:6">
      <c r="A45" s="970"/>
      <c r="B45" s="16" t="s">
        <v>159</v>
      </c>
      <c r="C45" s="16">
        <v>0.69713000000000003</v>
      </c>
    </row>
    <row r="46" spans="1:6">
      <c r="A46" s="970"/>
      <c r="B46" s="16" t="s">
        <v>160</v>
      </c>
      <c r="C46" s="16">
        <v>0.71250000000000002</v>
      </c>
    </row>
    <row r="47" spans="1:6">
      <c r="A47" s="970"/>
      <c r="B47" s="16" t="s">
        <v>161</v>
      </c>
      <c r="C47" s="16">
        <v>0.73196000000000006</v>
      </c>
    </row>
    <row r="48" spans="1:6">
      <c r="A48" s="970"/>
      <c r="B48" s="16" t="s">
        <v>162</v>
      </c>
      <c r="C48" s="16">
        <v>0.75693999999999995</v>
      </c>
    </row>
    <row r="49" spans="1:3">
      <c r="A49" s="970"/>
      <c r="B49" s="16" t="s">
        <v>163</v>
      </c>
      <c r="C49" s="16">
        <v>0.78556000000000004</v>
      </c>
    </row>
    <row r="50" spans="1:3">
      <c r="A50" s="970"/>
      <c r="B50" s="16" t="s">
        <v>164</v>
      </c>
      <c r="C50" s="16">
        <v>0.81589999999999996</v>
      </c>
    </row>
    <row r="51" spans="1:3">
      <c r="A51" s="970"/>
      <c r="B51" s="16" t="s">
        <v>165</v>
      </c>
      <c r="C51" s="16">
        <v>0.84443999999999997</v>
      </c>
    </row>
    <row r="52" spans="1:3">
      <c r="A52" s="970"/>
      <c r="B52" s="16" t="s">
        <v>166</v>
      </c>
      <c r="C52" s="16">
        <v>0.86385000000000001</v>
      </c>
    </row>
    <row r="53" spans="1:3">
      <c r="A53" s="970"/>
      <c r="B53" s="16" t="s">
        <v>167</v>
      </c>
      <c r="C53" s="16">
        <v>0.88380999999999998</v>
      </c>
    </row>
    <row r="54" spans="1:3">
      <c r="A54" s="970"/>
      <c r="B54" s="16" t="s">
        <v>168</v>
      </c>
      <c r="C54" s="16">
        <v>0.90259</v>
      </c>
    </row>
    <row r="55" spans="1:3">
      <c r="A55" s="970"/>
      <c r="B55" s="16" t="s">
        <v>169</v>
      </c>
      <c r="C55" s="16">
        <v>0.92105999999999999</v>
      </c>
    </row>
    <row r="56" spans="1:3">
      <c r="A56" s="970"/>
      <c r="B56" s="16" t="s">
        <v>170</v>
      </c>
      <c r="C56" s="16">
        <v>0.93852000000000002</v>
      </c>
    </row>
    <row r="57" spans="1:3">
      <c r="A57" s="970"/>
      <c r="B57" s="16" t="s">
        <v>171</v>
      </c>
      <c r="C57" s="16">
        <v>0.95413999999999999</v>
      </c>
    </row>
    <row r="58" spans="1:3">
      <c r="A58" s="970"/>
      <c r="B58" s="16" t="s">
        <v>172</v>
      </c>
      <c r="C58" s="16">
        <v>0.96472000000000002</v>
      </c>
    </row>
    <row r="59" spans="1:3">
      <c r="A59" s="970"/>
      <c r="B59" s="16" t="s">
        <v>173</v>
      </c>
      <c r="C59" s="16">
        <v>0.97867999999999999</v>
      </c>
    </row>
    <row r="60" spans="1:3">
      <c r="A60" s="970"/>
      <c r="B60" s="16" t="s">
        <v>174</v>
      </c>
      <c r="C60" s="16">
        <v>1</v>
      </c>
    </row>
    <row r="61" spans="1:3">
      <c r="A61" s="970"/>
      <c r="B61" s="16" t="s">
        <v>175</v>
      </c>
      <c r="C61" s="16">
        <v>1.02399</v>
      </c>
    </row>
    <row r="62" spans="1:3">
      <c r="A62" s="970"/>
      <c r="B62" s="16" t="s">
        <v>176</v>
      </c>
      <c r="C62" s="16">
        <v>1.0418700000000001</v>
      </c>
    </row>
    <row r="63" spans="1:3">
      <c r="A63" s="970"/>
      <c r="B63" s="16" t="s">
        <v>177</v>
      </c>
      <c r="C63" s="16">
        <v>1.0640400000000001</v>
      </c>
    </row>
    <row r="64" spans="1:3">
      <c r="A64" s="970"/>
      <c r="B64" s="16" t="s">
        <v>178</v>
      </c>
      <c r="C64" s="16">
        <v>1.0946199999999999</v>
      </c>
    </row>
    <row r="65" spans="1:3">
      <c r="A65" s="970"/>
      <c r="B65" s="16" t="s">
        <v>179</v>
      </c>
      <c r="C65" s="16">
        <v>1.1303399999999999</v>
      </c>
    </row>
    <row r="66" spans="1:3">
      <c r="A66" s="970"/>
      <c r="B66" s="16" t="s">
        <v>180</v>
      </c>
      <c r="C66" s="16">
        <v>1.16676</v>
      </c>
    </row>
    <row r="67" spans="1:3">
      <c r="A67" s="971"/>
      <c r="B67" s="165" t="s">
        <v>181</v>
      </c>
      <c r="C67" s="165">
        <v>1.1981599999999999</v>
      </c>
    </row>
    <row r="68" spans="1:3">
      <c r="A68" s="969" t="s">
        <v>21</v>
      </c>
      <c r="B68" s="166" t="s">
        <v>182</v>
      </c>
      <c r="C68" s="167">
        <v>1.1981900000000001</v>
      </c>
    </row>
    <row r="69" spans="1:3">
      <c r="A69" s="970"/>
      <c r="B69" s="13" t="s">
        <v>183</v>
      </c>
      <c r="C69" s="15">
        <v>1.2250000000000001</v>
      </c>
    </row>
    <row r="70" spans="1:3">
      <c r="A70" s="970"/>
      <c r="B70" s="13" t="s">
        <v>184</v>
      </c>
      <c r="C70" s="15">
        <v>1.2436309999999999</v>
      </c>
    </row>
    <row r="71" spans="1:3">
      <c r="A71" s="970"/>
      <c r="B71" s="13" t="s">
        <v>185</v>
      </c>
      <c r="C71" s="15">
        <v>1.261946</v>
      </c>
    </row>
    <row r="72" spans="1:3">
      <c r="A72" s="970"/>
      <c r="B72" s="13" t="s">
        <v>186</v>
      </c>
      <c r="C72" s="15">
        <v>1.278405</v>
      </c>
    </row>
    <row r="73" spans="1:3">
      <c r="A73" s="970"/>
      <c r="B73" s="13" t="s">
        <v>187</v>
      </c>
      <c r="C73" s="15">
        <v>1.2966709999999999</v>
      </c>
    </row>
    <row r="74" spans="1:3">
      <c r="A74" s="970"/>
      <c r="B74" s="13" t="s">
        <v>188</v>
      </c>
      <c r="C74" s="15">
        <v>1.319523</v>
      </c>
    </row>
    <row r="75" spans="1:3">
      <c r="A75" s="970"/>
      <c r="B75" s="13" t="s">
        <v>189</v>
      </c>
      <c r="C75" s="15">
        <v>1.3422909999999999</v>
      </c>
    </row>
    <row r="76" spans="1:3">
      <c r="A76" s="970"/>
      <c r="B76" s="13" t="s">
        <v>190</v>
      </c>
      <c r="C76" s="15">
        <v>1.365116</v>
      </c>
    </row>
    <row r="77" spans="1:3">
      <c r="A77" s="970"/>
      <c r="B77" s="13" t="s">
        <v>191</v>
      </c>
      <c r="C77" s="15">
        <v>1.3895459999999999</v>
      </c>
    </row>
    <row r="78" spans="1:3">
      <c r="A78" s="970"/>
      <c r="B78" s="13" t="s">
        <v>192</v>
      </c>
      <c r="C78" s="15">
        <v>1.415251</v>
      </c>
    </row>
    <row r="79" spans="1:3">
      <c r="A79" s="970"/>
      <c r="B79" s="13" t="s">
        <v>193</v>
      </c>
      <c r="C79" s="15">
        <v>1.4414830000000001</v>
      </c>
    </row>
    <row r="80" spans="1:3">
      <c r="A80" s="970"/>
      <c r="B80" s="13" t="s">
        <v>194</v>
      </c>
      <c r="C80" s="15">
        <v>1.468135</v>
      </c>
    </row>
    <row r="81" spans="1:3">
      <c r="A81" s="970"/>
      <c r="B81" s="13" t="s">
        <v>195</v>
      </c>
      <c r="C81" s="15">
        <v>1.497112</v>
      </c>
    </row>
    <row r="82" spans="1:3">
      <c r="A82" s="970"/>
      <c r="B82" s="13" t="s">
        <v>196</v>
      </c>
      <c r="C82" s="15">
        <v>1.5288170000000001</v>
      </c>
    </row>
    <row r="83" spans="1:3">
      <c r="A83" s="970"/>
      <c r="B83" s="13" t="s">
        <v>197</v>
      </c>
      <c r="C83" s="15">
        <v>1.562325</v>
      </c>
    </row>
    <row r="84" spans="1:3">
      <c r="A84" s="970"/>
      <c r="B84" s="13" t="s">
        <v>198</v>
      </c>
      <c r="C84" s="15">
        <v>1.596034</v>
      </c>
    </row>
    <row r="85" spans="1:3">
      <c r="A85" s="970"/>
      <c r="B85" s="13" t="s">
        <v>199</v>
      </c>
      <c r="C85" s="15">
        <v>1.629221</v>
      </c>
    </row>
    <row r="86" spans="1:3">
      <c r="A86" s="970"/>
      <c r="B86" s="13" t="s">
        <v>200</v>
      </c>
      <c r="C86" s="15">
        <v>1.66248</v>
      </c>
    </row>
    <row r="87" spans="1:3">
      <c r="A87" s="970"/>
      <c r="B87" s="13" t="s">
        <v>201</v>
      </c>
      <c r="C87" s="15">
        <v>1.6970559999999999</v>
      </c>
    </row>
    <row r="88" spans="1:3">
      <c r="A88" s="970"/>
      <c r="B88" s="13" t="s">
        <v>202</v>
      </c>
      <c r="C88" s="15">
        <v>1.732807</v>
      </c>
    </row>
    <row r="89" spans="1:3">
      <c r="A89" s="970"/>
      <c r="B89" s="13" t="s">
        <v>203</v>
      </c>
      <c r="C89" s="15">
        <v>1.7703800000000001</v>
      </c>
    </row>
    <row r="90" spans="1:3">
      <c r="A90" s="970"/>
      <c r="B90" s="13" t="s">
        <v>204</v>
      </c>
      <c r="C90" s="15">
        <v>1.8089500000000001</v>
      </c>
    </row>
    <row r="91" spans="1:3">
      <c r="A91" s="970"/>
      <c r="B91" s="13" t="s">
        <v>205</v>
      </c>
      <c r="C91" s="15">
        <v>1.8489139999999999</v>
      </c>
    </row>
    <row r="92" spans="1:3">
      <c r="A92" s="970"/>
      <c r="B92" s="13" t="s">
        <v>206</v>
      </c>
      <c r="C92" s="15">
        <v>1.8900870000000001</v>
      </c>
    </row>
    <row r="93" spans="1:3">
      <c r="A93" s="970"/>
      <c r="B93" s="13" t="s">
        <v>207</v>
      </c>
      <c r="C93" s="15">
        <v>1.932426</v>
      </c>
    </row>
    <row r="94" spans="1:3">
      <c r="A94" s="970"/>
      <c r="B94" s="13" t="s">
        <v>208</v>
      </c>
      <c r="C94" s="15">
        <v>1.974002</v>
      </c>
    </row>
    <row r="95" spans="1:3">
      <c r="A95" s="970"/>
      <c r="B95" s="13" t="s">
        <v>209</v>
      </c>
      <c r="C95" s="15">
        <v>2.0161039999999999</v>
      </c>
    </row>
    <row r="96" spans="1:3">
      <c r="A96" s="971"/>
      <c r="B96" s="168" t="s">
        <v>210</v>
      </c>
      <c r="C96" s="169">
        <v>2.0586570000000002</v>
      </c>
    </row>
  </sheetData>
  <mergeCells count="2">
    <mergeCell ref="A68:A96"/>
    <mergeCell ref="A9:A67"/>
  </mergeCells>
  <hyperlinks>
    <hyperlink ref="A9" r:id="rId1"/>
    <hyperlink ref="A68"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D15"/>
  <sheetViews>
    <sheetView zoomScaleNormal="100" workbookViewId="0"/>
  </sheetViews>
  <sheetFormatPr defaultRowHeight="15"/>
  <cols>
    <col min="1" max="1" width="27.85546875" customWidth="1"/>
    <col min="2" max="2" width="9.7109375" customWidth="1"/>
    <col min="3" max="3" width="67.42578125" bestFit="1" customWidth="1"/>
  </cols>
  <sheetData>
    <row r="1" spans="1:4" ht="28.5">
      <c r="A1" s="95" t="s">
        <v>57</v>
      </c>
    </row>
    <row r="3" spans="1:4" ht="15.75" thickBot="1">
      <c r="A3" s="38" t="s">
        <v>110</v>
      </c>
      <c r="B3" s="39" t="s">
        <v>6</v>
      </c>
      <c r="C3" s="39" t="s">
        <v>5</v>
      </c>
    </row>
    <row r="4" spans="1:4" ht="15.75" thickTop="1">
      <c r="A4" t="s">
        <v>117</v>
      </c>
      <c r="B4" s="127">
        <v>0.90718474000000004</v>
      </c>
      <c r="C4" t="s">
        <v>111</v>
      </c>
    </row>
    <row r="5" spans="1:4">
      <c r="A5" t="s">
        <v>466</v>
      </c>
      <c r="B5" s="127">
        <v>4.5359236999999999E-4</v>
      </c>
      <c r="C5" t="s">
        <v>467</v>
      </c>
    </row>
    <row r="6" spans="1:4">
      <c r="A6" t="s">
        <v>116</v>
      </c>
      <c r="B6" s="127">
        <v>1.6093440000000001</v>
      </c>
      <c r="C6" t="s">
        <v>112</v>
      </c>
    </row>
    <row r="7" spans="1:4">
      <c r="A7" t="s">
        <v>115</v>
      </c>
      <c r="B7" s="212">
        <f>116090/947.8/3.6</f>
        <v>34.023235094136126</v>
      </c>
      <c r="C7" t="s">
        <v>113</v>
      </c>
    </row>
    <row r="8" spans="1:4">
      <c r="A8" t="s">
        <v>114</v>
      </c>
      <c r="B8" s="170">
        <v>25</v>
      </c>
      <c r="C8" t="s">
        <v>755</v>
      </c>
    </row>
    <row r="9" spans="1:4">
      <c r="A9" t="s">
        <v>118</v>
      </c>
      <c r="B9" s="170">
        <v>310</v>
      </c>
      <c r="C9" t="s">
        <v>756</v>
      </c>
    </row>
    <row r="10" spans="1:4">
      <c r="A10" t="s">
        <v>235</v>
      </c>
      <c r="B10" s="141">
        <f>0.413/0.462/42</f>
        <v>2.1284271284271281E-2</v>
      </c>
      <c r="C10" t="s">
        <v>119</v>
      </c>
    </row>
    <row r="11" spans="1:4">
      <c r="A11" t="s">
        <v>214</v>
      </c>
      <c r="B11" s="170">
        <f>2.42*(44/12)*99%/1000</f>
        <v>8.7846E-3</v>
      </c>
      <c r="C11" t="s">
        <v>213</v>
      </c>
    </row>
    <row r="14" spans="1:4">
      <c r="C14" s="84"/>
      <c r="D14" s="84"/>
    </row>
    <row r="15" spans="1:4">
      <c r="C15" s="84"/>
      <c r="D15" s="84"/>
    </row>
  </sheetData>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dimension ref="A1:E12"/>
  <sheetViews>
    <sheetView workbookViewId="0"/>
  </sheetViews>
  <sheetFormatPr defaultRowHeight="15"/>
  <cols>
    <col min="5" max="5" width="9.85546875" bestFit="1" customWidth="1"/>
  </cols>
  <sheetData>
    <row r="1" spans="1:5" ht="23.25">
      <c r="A1" s="172" t="s">
        <v>710</v>
      </c>
    </row>
    <row r="2" spans="1:5">
      <c r="B2" t="s">
        <v>706</v>
      </c>
      <c r="C2" t="s">
        <v>707</v>
      </c>
      <c r="D2" t="s">
        <v>708</v>
      </c>
      <c r="E2" t="s">
        <v>709</v>
      </c>
    </row>
    <row r="3" spans="1:5">
      <c r="A3" s="217" t="s">
        <v>8</v>
      </c>
      <c r="B3" s="865">
        <v>1.0999999999999999E-2</v>
      </c>
      <c r="C3" s="865">
        <f>B3*USD_BaseYear/USD_2007</f>
        <v>1.1585312846877372E-2</v>
      </c>
      <c r="D3" s="866">
        <f>C3*SUMMARY!$B$34</f>
        <v>144.81641058596716</v>
      </c>
      <c r="E3" s="866">
        <f>D3*Present_Annual___real_rate</f>
        <v>1294.1520193142992</v>
      </c>
    </row>
    <row r="4" spans="1:5">
      <c r="A4" s="218" t="s">
        <v>705</v>
      </c>
      <c r="B4" s="867">
        <v>4.0000000000000001E-3</v>
      </c>
      <c r="C4" s="867">
        <f>B4*USD_BaseYear/USD_2007</f>
        <v>4.2128410352281357E-3</v>
      </c>
      <c r="D4" s="868">
        <f>C4*SUMMARY!$B$34</f>
        <v>52.660512940351694</v>
      </c>
      <c r="E4" s="868">
        <f>D4*Present_Annual___real_rate</f>
        <v>470.60073429610878</v>
      </c>
    </row>
    <row r="5" spans="1:5">
      <c r="E5" s="789">
        <f>E3-E4</f>
        <v>823.55128501819036</v>
      </c>
    </row>
    <row r="8" spans="1:5" ht="23.25">
      <c r="A8" s="172" t="s">
        <v>711</v>
      </c>
    </row>
    <row r="9" spans="1:5">
      <c r="B9" t="s">
        <v>706</v>
      </c>
      <c r="C9" t="s">
        <v>707</v>
      </c>
      <c r="D9" t="s">
        <v>708</v>
      </c>
      <c r="E9" t="s">
        <v>709</v>
      </c>
    </row>
    <row r="10" spans="1:5">
      <c r="A10" s="217" t="s">
        <v>8</v>
      </c>
      <c r="B10" s="865">
        <v>1.4E-2</v>
      </c>
      <c r="C10" s="865">
        <f>B10*USD_BaseYear/USD_2007</f>
        <v>1.4744943623298475E-2</v>
      </c>
      <c r="D10" s="866">
        <f>C10*SUMMARY!$B$34</f>
        <v>184.31179529123094</v>
      </c>
      <c r="E10" s="866">
        <f>D10*Present_Annual___real_rate</f>
        <v>1647.1025700363809</v>
      </c>
    </row>
    <row r="11" spans="1:5">
      <c r="A11" s="218" t="s">
        <v>705</v>
      </c>
      <c r="B11" s="867">
        <f>B10/2</f>
        <v>7.0000000000000001E-3</v>
      </c>
      <c r="C11" s="867">
        <f>B11*USD_BaseYear/USD_2007</f>
        <v>7.3724718116492376E-3</v>
      </c>
      <c r="D11" s="868">
        <f>C11*SUMMARY!$B$34</f>
        <v>92.155897645615468</v>
      </c>
      <c r="E11" s="868">
        <f>D11*Present_Annual___real_rate</f>
        <v>823.55128501819047</v>
      </c>
    </row>
    <row r="12" spans="1:5">
      <c r="E12" s="789">
        <f>E10-E11</f>
        <v>823.55128501819047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B16"/>
  <sheetViews>
    <sheetView zoomScaleNormal="100" workbookViewId="0"/>
  </sheetViews>
  <sheetFormatPr defaultRowHeight="15"/>
  <cols>
    <col min="1" max="1" width="8.42578125" style="174" customWidth="1"/>
    <col min="2" max="2" width="105" style="173" bestFit="1" customWidth="1"/>
    <col min="3" max="16384" width="9.140625" style="174"/>
  </cols>
  <sheetData>
    <row r="1" spans="1:2" ht="23.25">
      <c r="A1" s="172" t="s">
        <v>92</v>
      </c>
    </row>
    <row r="2" spans="1:2" ht="23.25">
      <c r="A2" s="172"/>
    </row>
    <row r="3" spans="1:2" ht="15.75" thickBot="1">
      <c r="A3" s="175" t="s">
        <v>218</v>
      </c>
      <c r="B3" s="176" t="s">
        <v>219</v>
      </c>
    </row>
    <row r="4" spans="1:2" ht="15.75" thickTop="1">
      <c r="A4" s="174" t="s">
        <v>90</v>
      </c>
      <c r="B4" s="173" t="s">
        <v>91</v>
      </c>
    </row>
    <row r="5" spans="1:2">
      <c r="A5" s="174" t="s">
        <v>86</v>
      </c>
      <c r="B5" s="173" t="s">
        <v>84</v>
      </c>
    </row>
    <row r="6" spans="1:2">
      <c r="A6" s="174" t="s">
        <v>88</v>
      </c>
      <c r="B6" s="173" t="s">
        <v>89</v>
      </c>
    </row>
    <row r="7" spans="1:2" ht="30">
      <c r="A7" s="177" t="s">
        <v>103</v>
      </c>
      <c r="B7" s="178" t="s">
        <v>229</v>
      </c>
    </row>
    <row r="8" spans="1:2">
      <c r="A8" s="174" t="s">
        <v>106</v>
      </c>
      <c r="B8" s="178" t="s">
        <v>662</v>
      </c>
    </row>
    <row r="9" spans="1:2">
      <c r="A9" s="174" t="s">
        <v>107</v>
      </c>
      <c r="B9" s="178" t="s">
        <v>662</v>
      </c>
    </row>
    <row r="10" spans="1:2">
      <c r="A10" s="174" t="s">
        <v>93</v>
      </c>
      <c r="B10" s="173" t="s">
        <v>94</v>
      </c>
    </row>
    <row r="11" spans="1:2" ht="30">
      <c r="A11" s="174" t="s">
        <v>216</v>
      </c>
      <c r="B11" s="173" t="s">
        <v>217</v>
      </c>
    </row>
    <row r="12" spans="1:2">
      <c r="A12" s="174" t="s">
        <v>85</v>
      </c>
      <c r="B12" s="173" t="s">
        <v>87</v>
      </c>
    </row>
    <row r="13" spans="1:2" ht="30">
      <c r="A13" s="174" t="s">
        <v>105</v>
      </c>
      <c r="B13" s="173" t="s">
        <v>220</v>
      </c>
    </row>
    <row r="14" spans="1:2" ht="30">
      <c r="A14" s="174" t="s">
        <v>233</v>
      </c>
      <c r="B14" s="173" t="s">
        <v>232</v>
      </c>
    </row>
    <row r="15" spans="1:2" ht="30">
      <c r="A15" s="174" t="s">
        <v>244</v>
      </c>
      <c r="B15" s="173" t="s">
        <v>245</v>
      </c>
    </row>
    <row r="16" spans="1:2" ht="45">
      <c r="A16" s="174" t="s">
        <v>731</v>
      </c>
      <c r="B16" s="173" t="s">
        <v>732</v>
      </c>
    </row>
  </sheetData>
  <autoFilter ref="A3:B12">
    <sortState ref="A4:B12">
      <sortCondition ref="A3:A12"/>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116</vt:i4>
      </vt:variant>
    </vt:vector>
  </HeadingPairs>
  <TitlesOfParts>
    <vt:vector size="135" baseType="lpstr">
      <vt:lpstr>INTRO</vt:lpstr>
      <vt:lpstr>SUMMARY</vt:lpstr>
      <vt:lpstr>FIGURES</vt:lpstr>
      <vt:lpstr>Valuation</vt:lpstr>
      <vt:lpstr>Vehicle</vt:lpstr>
      <vt:lpstr>Electricity</vt:lpstr>
      <vt:lpstr>Gasoline</vt:lpstr>
      <vt:lpstr>Manufacturing</vt:lpstr>
      <vt:lpstr>Design</vt:lpstr>
      <vt:lpstr>AER</vt:lpstr>
      <vt:lpstr>OwnershipCost</vt:lpstr>
      <vt:lpstr>Maintenance</vt:lpstr>
      <vt:lpstr>Charger</vt:lpstr>
      <vt:lpstr>Oil Data</vt:lpstr>
      <vt:lpstr>Oil Allocation</vt:lpstr>
      <vt:lpstr>Deflator</vt:lpstr>
      <vt:lpstr>Units</vt:lpstr>
      <vt:lpstr>Noise Water</vt:lpstr>
      <vt:lpstr>Sources</vt:lpstr>
      <vt:lpstr>batsizeBEV</vt:lpstr>
      <vt:lpstr>batsizeHEV_Liion</vt:lpstr>
      <vt:lpstr>batsizeHEV_NiMH</vt:lpstr>
      <vt:lpstr>batsizePHEV20</vt:lpstr>
      <vt:lpstr>batsizePHEV60</vt:lpstr>
      <vt:lpstr>Battery_life__years</vt:lpstr>
      <vt:lpstr>battery_replacements</vt:lpstr>
      <vt:lpstr>CH4_to_CO2eq</vt:lpstr>
      <vt:lpstr>ealloc_perbbloil_to_pergalgas</vt:lpstr>
      <vt:lpstr>Externality_oil_premium_rate</vt:lpstr>
      <vt:lpstr>galgas_to_mtCO2</vt:lpstr>
      <vt:lpstr>galgaseq_to_kWh</vt:lpstr>
      <vt:lpstr>Inflation_rate_for_fuel_prices</vt:lpstr>
      <vt:lpstr>lb_to_mt</vt:lpstr>
      <vt:lpstr>Li_ion_battery_replacements</vt:lpstr>
      <vt:lpstr>Lifetime_mileage</vt:lpstr>
      <vt:lpstr>mi_to_km</vt:lpstr>
      <vt:lpstr>N2O_to_CO2eq</vt:lpstr>
      <vt:lpstr>NiMH_Battery_Life__years</vt:lpstr>
      <vt:lpstr>NiMH_battery_replacements</vt:lpstr>
      <vt:lpstr>Nominal_discount_rate</vt:lpstr>
      <vt:lpstr>P_given_A_at_social_rate</vt:lpstr>
      <vt:lpstr>PbAcid_battery_replacements</vt:lpstr>
      <vt:lpstr>Present_Annual___real_rate</vt:lpstr>
      <vt:lpstr>Real_discount_rate__fuel_cost</vt:lpstr>
      <vt:lpstr>ton_to_mt</vt:lpstr>
      <vt:lpstr>USD_1949</vt:lpstr>
      <vt:lpstr>USD_1950</vt:lpstr>
      <vt:lpstr>USD_1951</vt:lpstr>
      <vt:lpstr>USD_1952</vt:lpstr>
      <vt:lpstr>USD_1953</vt:lpstr>
      <vt:lpstr>USD_1954</vt:lpstr>
      <vt:lpstr>USD_1955</vt:lpstr>
      <vt:lpstr>USD_1956</vt:lpstr>
      <vt:lpstr>USD_1957</vt:lpstr>
      <vt:lpstr>USD_1958</vt:lpstr>
      <vt:lpstr>USD_1959</vt:lpstr>
      <vt:lpstr>USD_1960</vt:lpstr>
      <vt:lpstr>USD_1961</vt:lpstr>
      <vt:lpstr>USD_1962</vt:lpstr>
      <vt:lpstr>USD_1963</vt:lpstr>
      <vt:lpstr>USD_1964</vt:lpstr>
      <vt:lpstr>USD_1965</vt:lpstr>
      <vt:lpstr>USD_1966</vt:lpstr>
      <vt:lpstr>USD_1967</vt:lpstr>
      <vt:lpstr>USD_1968</vt:lpstr>
      <vt:lpstr>USD_1969</vt:lpstr>
      <vt:lpstr>USD_1970</vt:lpstr>
      <vt:lpstr>USD_1971</vt:lpstr>
      <vt:lpstr>USD_1972</vt:lpstr>
      <vt:lpstr>USD_1973</vt:lpstr>
      <vt:lpstr>USD_1974</vt:lpstr>
      <vt:lpstr>USD_1975</vt:lpstr>
      <vt:lpstr>USD_1976</vt:lpstr>
      <vt:lpstr>USD_1977</vt:lpstr>
      <vt:lpstr>USD_1978</vt:lpstr>
      <vt:lpstr>USD_1979</vt:lpstr>
      <vt:lpstr>USD_1980</vt:lpstr>
      <vt:lpstr>USD_1981</vt:lpstr>
      <vt:lpstr>USD_1982</vt:lpstr>
      <vt:lpstr>USD_1983</vt:lpstr>
      <vt:lpstr>USD_1984</vt:lpstr>
      <vt:lpstr>USD_1985</vt:lpstr>
      <vt:lpstr>USD_1986</vt:lpstr>
      <vt:lpstr>USD_1987</vt:lpstr>
      <vt:lpstr>USD_1988</vt:lpstr>
      <vt:lpstr>USD_1989</vt:lpstr>
      <vt:lpstr>USD_1990</vt:lpstr>
      <vt:lpstr>USD_1991</vt:lpstr>
      <vt:lpstr>USD_1992</vt:lpstr>
      <vt:lpstr>USD_1993</vt:lpstr>
      <vt:lpstr>USD_1994</vt:lpstr>
      <vt:lpstr>USD_1995</vt:lpstr>
      <vt:lpstr>USD_1996</vt:lpstr>
      <vt:lpstr>USD_1997</vt:lpstr>
      <vt:lpstr>USD_1998</vt:lpstr>
      <vt:lpstr>USD_1999</vt:lpstr>
      <vt:lpstr>USD_2000</vt:lpstr>
      <vt:lpstr>USD_2001</vt:lpstr>
      <vt:lpstr>USD_2002</vt:lpstr>
      <vt:lpstr>USD_2003</vt:lpstr>
      <vt:lpstr>USD_2004</vt:lpstr>
      <vt:lpstr>USD_2005</vt:lpstr>
      <vt:lpstr>USD_2006</vt:lpstr>
      <vt:lpstr>USD_2007</vt:lpstr>
      <vt:lpstr>USD_2007a</vt:lpstr>
      <vt:lpstr>USD_2008</vt:lpstr>
      <vt:lpstr>USD_2009</vt:lpstr>
      <vt:lpstr>USD_2010</vt:lpstr>
      <vt:lpstr>USD_2011</vt:lpstr>
      <vt:lpstr>USD_2012</vt:lpstr>
      <vt:lpstr>USD_2013</vt:lpstr>
      <vt:lpstr>USD_2014</vt:lpstr>
      <vt:lpstr>USD_2015</vt:lpstr>
      <vt:lpstr>USD_2016</vt:lpstr>
      <vt:lpstr>USD_2017</vt:lpstr>
      <vt:lpstr>USD_2018</vt:lpstr>
      <vt:lpstr>USD_2019</vt:lpstr>
      <vt:lpstr>USD_2020</vt:lpstr>
      <vt:lpstr>USD_2021</vt:lpstr>
      <vt:lpstr>USD_2022</vt:lpstr>
      <vt:lpstr>USD_2023</vt:lpstr>
      <vt:lpstr>USD_2024</vt:lpstr>
      <vt:lpstr>USD_2025</vt:lpstr>
      <vt:lpstr>USD_2026</vt:lpstr>
      <vt:lpstr>USD_2027</vt:lpstr>
      <vt:lpstr>USD_2028</vt:lpstr>
      <vt:lpstr>USD_2029</vt:lpstr>
      <vt:lpstr>USD_2030</vt:lpstr>
      <vt:lpstr>USD_2031</vt:lpstr>
      <vt:lpstr>USD_2032</vt:lpstr>
      <vt:lpstr>USD_2033</vt:lpstr>
      <vt:lpstr>USD_2034</vt:lpstr>
      <vt:lpstr>USD_2035</vt:lpstr>
      <vt:lpstr>USD_BaseYear</vt:lpstr>
      <vt:lpstr>Vehicle_life</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drj</cp:lastModifiedBy>
  <cp:lastPrinted>2011-06-15T18:11:42Z</cp:lastPrinted>
  <dcterms:created xsi:type="dcterms:W3CDTF">2010-06-23T20:04:18Z</dcterms:created>
  <dcterms:modified xsi:type="dcterms:W3CDTF">2011-09-26T20:16:04Z</dcterms:modified>
</cp:coreProperties>
</file>